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taimi.sharepoint.com/sites/tyotilat/ELY_UUD_Y_YVA/Tiedostot/_YVAt/Adven Oy biokaasulaitos/SELOSTUSVAIHE/Selostus/"/>
    </mc:Choice>
  </mc:AlternateContent>
  <xr:revisionPtr revIDLastSave="0" documentId="8_{81D89F7A-2C49-478D-9508-D01A7BA346FD}" xr6:coauthVersionLast="45" xr6:coauthVersionMax="45" xr10:uidLastSave="{00000000-0000-0000-0000-000000000000}"/>
  <workbookProtection workbookAlgorithmName="SHA-512" workbookHashValue="QZkeThbol4Hutzat4xsXZM3SQ6LEM5+U3GuQLB2YY5CsFgvp3hfMGE+BDOftYVFrHCEQQ1gRaMCQpQdc+FgQeg==" workbookSaltValue="bs+kLLjs+iqsZhXSeLog4w==" workbookSpinCount="100000" lockStructure="1"/>
  <bookViews>
    <workbookView xWindow="23880" yWindow="-120" windowWidth="29040" windowHeight="17640" tabRatio="902" activeTab="3" xr2:uid="{00000000-000D-0000-FFFF-FFFF00000000}"/>
  </bookViews>
  <sheets>
    <sheet name="Laskentaperiaate" sheetId="16" r:id="rId1"/>
    <sheet name="Rajaus" sheetId="19" r:id="rId2"/>
    <sheet name="Kaasuntuotto" sheetId="12" r:id="rId3"/>
    <sheet name="Biopolttoaineen päästöt" sheetId="18" r:id="rId4"/>
    <sheet name="Päästövähenemä" sheetId="6" r:id="rId5"/>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6" l="1"/>
  <c r="B19" i="6" l="1"/>
  <c r="B33" i="18" l="1"/>
  <c r="B28" i="12"/>
  <c r="I35" i="18"/>
  <c r="B44" i="6" l="1"/>
  <c r="B24" i="18"/>
  <c r="B9" i="18" l="1"/>
  <c r="I13" i="12" l="1"/>
  <c r="P23" i="19" l="1"/>
  <c r="S20" i="19"/>
  <c r="B43" i="6" l="1"/>
  <c r="B45" i="6" s="1"/>
  <c r="B32" i="6" l="1"/>
  <c r="B33" i="6" l="1"/>
  <c r="B34" i="6" s="1"/>
  <c r="B20" i="6" l="1"/>
  <c r="I36" i="18" l="1"/>
  <c r="B35" i="18" s="1"/>
  <c r="B9" i="12"/>
  <c r="E21" i="12" s="1"/>
  <c r="B36" i="18" l="1"/>
  <c r="B37" i="18" s="1"/>
  <c r="B23" i="18" s="1"/>
  <c r="B10" i="12" l="1"/>
  <c r="E13" i="6"/>
  <c r="B44" i="18" l="1"/>
  <c r="B45" i="18" s="1"/>
  <c r="B12" i="12"/>
  <c r="B13" i="12" s="1"/>
  <c r="B16" i="18" l="1"/>
  <c r="B32" i="18"/>
  <c r="B27" i="12"/>
  <c r="B29" i="12" l="1"/>
  <c r="H21" i="12" s="1"/>
  <c r="B17" i="18"/>
  <c r="B19" i="18" s="1"/>
  <c r="H13" i="6" l="1"/>
  <c r="B15" i="18"/>
  <c r="B20" i="18" s="1"/>
  <c r="H22" i="12" l="1"/>
  <c r="H14" i="6" s="1"/>
  <c r="B5" i="12"/>
  <c r="B6" i="12" s="1"/>
  <c r="B47" i="18"/>
  <c r="B48" i="18" s="1"/>
  <c r="B25" i="18" s="1"/>
  <c r="B49" i="18" l="1"/>
  <c r="B26" i="18" l="1"/>
  <c r="B28" i="18" s="1"/>
  <c r="B21" i="6"/>
  <c r="B22" i="6" l="1"/>
  <c r="B4" i="6" l="1"/>
  <c r="B6" i="6" s="1"/>
  <c r="B23" i="6"/>
  <c r="B46" i="6"/>
  <c r="B36" i="6"/>
</calcChain>
</file>

<file path=xl/sharedStrings.xml><?xml version="1.0" encoding="utf-8"?>
<sst xmlns="http://schemas.openxmlformats.org/spreadsheetml/2006/main" count="231" uniqueCount="154">
  <si>
    <t>Sähkönkulutus reaktorit</t>
  </si>
  <si>
    <t>Arvo</t>
  </si>
  <si>
    <t>Yksikkö</t>
  </si>
  <si>
    <t>t</t>
  </si>
  <si>
    <t>g CO2 ekv/MJ</t>
  </si>
  <si>
    <t>kg</t>
  </si>
  <si>
    <t>MJ</t>
  </si>
  <si>
    <t>m3/tVS</t>
  </si>
  <si>
    <t>m3</t>
  </si>
  <si>
    <t>kWh/m3</t>
  </si>
  <si>
    <t>kWh</t>
  </si>
  <si>
    <t>kWh/v</t>
  </si>
  <si>
    <t>MJ/v</t>
  </si>
  <si>
    <t>g CO2</t>
  </si>
  <si>
    <t>%</t>
  </si>
  <si>
    <t>Jalostus ja jakelu</t>
  </si>
  <si>
    <t>Päästövähenemä</t>
  </si>
  <si>
    <t>g CO2/v</t>
  </si>
  <si>
    <t>Biopolttoaineen tuotannon kasvihuonekaasupäästöt</t>
  </si>
  <si>
    <t>Keräilyn CO2 päästöt</t>
  </si>
  <si>
    <t>Päästöt, jalostus ja jakelu</t>
  </si>
  <si>
    <t>g CO2/MJ</t>
  </si>
  <si>
    <t>g CO2/kWh</t>
  </si>
  <si>
    <r>
      <t>Biopolttoaineiden fossiilinen vertailuarvo (E</t>
    </r>
    <r>
      <rPr>
        <vertAlign val="subscript"/>
        <sz val="11"/>
        <color theme="1"/>
        <rFont val="Calibri"/>
        <family val="2"/>
        <scheme val="minor"/>
      </rPr>
      <t>f</t>
    </r>
    <r>
      <rPr>
        <sz val="11"/>
        <color theme="1"/>
        <rFont val="Calibri"/>
        <family val="2"/>
        <scheme val="minor"/>
      </rPr>
      <t>)</t>
    </r>
  </si>
  <si>
    <t xml:space="preserve">Raaka-aineesta saatava energiamäärä vähentäen sen tuottamiseen käytetty energiamäärä, yksikkömuunnos </t>
  </si>
  <si>
    <t>biokaasua</t>
  </si>
  <si>
    <t>&gt;&gt; biometaania</t>
  </si>
  <si>
    <t>Käsiteltävän syötteen määrä</t>
  </si>
  <si>
    <t>Syötteen määrä</t>
  </si>
  <si>
    <t>Orgaanisen aineen (VS) pitoisuus</t>
  </si>
  <si>
    <t>Orgaanista ainesta (VS)</t>
  </si>
  <si>
    <t>Keräyksen ja kuljetusten päästöt</t>
  </si>
  <si>
    <t>Jalostuksen päästöt</t>
  </si>
  <si>
    <t>Kokonaiskaasuntuotto (2017)</t>
  </si>
  <si>
    <t>Syötesekoite (jätevesiliete/sako-jaumpikaivoliete/teurasjäte/elintarvikejäte/peltobiomassa)</t>
  </si>
  <si>
    <t>Kokonaispäästöt</t>
  </si>
  <si>
    <t>sähkö</t>
  </si>
  <si>
    <t>lämpö</t>
  </si>
  <si>
    <t>Metaanintuotto</t>
  </si>
  <si>
    <t>t/a</t>
  </si>
  <si>
    <t>Allokointi:</t>
  </si>
  <si>
    <t>Energiasisältö</t>
  </si>
  <si>
    <t>m3/v</t>
  </si>
  <si>
    <t xml:space="preserve">Päästövähenemä </t>
  </si>
  <si>
    <r>
      <t>Biokaasun ja biometaanin tuotannon päästöt (E</t>
    </r>
    <r>
      <rPr>
        <vertAlign val="subscript"/>
        <sz val="11"/>
        <color theme="1"/>
        <rFont val="Calibri"/>
        <family val="2"/>
        <scheme val="minor"/>
      </rPr>
      <t>b</t>
    </r>
    <r>
      <rPr>
        <sz val="11"/>
        <color theme="1"/>
        <rFont val="Calibri"/>
        <family val="2"/>
        <scheme val="minor"/>
      </rPr>
      <t>)</t>
    </r>
  </si>
  <si>
    <t>Käytetään biokaasuna (raakakaasu)</t>
  </si>
  <si>
    <t/>
  </si>
  <si>
    <t>Tuotannon kokonaispäästöt tuotettua energiaa kohti</t>
  </si>
  <si>
    <t>Laskentaperiaate</t>
  </si>
  <si>
    <r>
      <t>Tuotetun biometaanin tuotannon kokonaispäästöt (E</t>
    </r>
    <r>
      <rPr>
        <vertAlign val="subscript"/>
        <sz val="11"/>
        <color theme="1"/>
        <rFont val="Calibri"/>
        <family val="2"/>
        <scheme val="minor"/>
      </rPr>
      <t>b</t>
    </r>
    <r>
      <rPr>
        <sz val="11"/>
        <color theme="1"/>
        <rFont val="Calibri"/>
        <family val="2"/>
        <scheme val="minor"/>
      </rPr>
      <t>) on laskettu kaavalla</t>
    </r>
  </si>
  <si>
    <t>km</t>
  </si>
  <si>
    <t>m3 CH4/a</t>
  </si>
  <si>
    <t>kg CH4/a</t>
  </si>
  <si>
    <t>CH4:n CO2-ekvivalentti</t>
  </si>
  <si>
    <t>kg CO2-ekv/a</t>
  </si>
  <si>
    <t>g CO2- ekv/a</t>
  </si>
  <si>
    <t>g CO2- ekv/MJ</t>
  </si>
  <si>
    <t>Metaanipäästö prosessista 1 % tuotetusta metaanimäärästä (ISCC-ohje)</t>
  </si>
  <si>
    <t>Metaanin CO2 päästö</t>
  </si>
  <si>
    <t>Metaanin päästökerroin</t>
  </si>
  <si>
    <t xml:space="preserve">Laskennassa on huomioitu biokaasulaitoksen raaka-aineen keräilyn ja kuljettamisen päästöt sekä jalostuksessa ja jakelussa muodostuvat päästöt. </t>
  </si>
  <si>
    <t>Biokaasun energiasisältö</t>
  </si>
  <si>
    <t>TS</t>
  </si>
  <si>
    <t>kg/t</t>
  </si>
  <si>
    <t>Rejektin määrä</t>
  </si>
  <si>
    <t>t/v</t>
  </si>
  <si>
    <t>kg TS</t>
  </si>
  <si>
    <t>Energia-arvo</t>
  </si>
  <si>
    <t>MJ/kg TS</t>
  </si>
  <si>
    <t>(Energiatehokas lietteen käsittely, Ympäristökeskus, 2011)</t>
  </si>
  <si>
    <t>Lämmöntuotannon päästökerroin</t>
  </si>
  <si>
    <t>Osuus</t>
  </si>
  <si>
    <t>CO2 (tkm) Euro 5,15 t, osakuorma(Lipasto 2018)</t>
  </si>
  <si>
    <t>g/tkm</t>
  </si>
  <si>
    <t>Yht.</t>
  </si>
  <si>
    <t>Kuljetuksen hiilidioksidiosuus</t>
  </si>
  <si>
    <t>Lietteen hiilidioksidiosuus</t>
  </si>
  <si>
    <t>koska alle 1% ei oteta mukaan laskentaan (Energiaviraston ohje)</t>
  </si>
  <si>
    <t>FloFoam H16</t>
  </si>
  <si>
    <t>Kuljetus 1krt/vuosi</t>
  </si>
  <si>
    <t>noin</t>
  </si>
  <si>
    <r>
      <t xml:space="preserve">Vaahdonestoaineen hiilidioksidipäästöt </t>
    </r>
    <r>
      <rPr>
        <sz val="11"/>
        <color theme="1"/>
        <rFont val="Calibri"/>
        <family val="2"/>
        <scheme val="minor"/>
      </rPr>
      <t>(Lipasto 2018, 15 t jakeluauto)</t>
    </r>
  </si>
  <si>
    <t xml:space="preserve">FloFoam H16 hiilidioksipäästöistä ei ole saatavilla tietoa. Käytetty vastaavanlaisen rasvahappopohjaisen vaahdonestoaineen arvoa </t>
  </si>
  <si>
    <t>g CO2 ekv/kg</t>
  </si>
  <si>
    <t xml:space="preserve"> ((raaka-aineen keräilyn energiankulutus*CO2-päästökerroin) + (raaka-aineen kuljetuksen energiankulutus*CO2-päästökerroin) + (biokaasun tuotannon ja jalostuksen sähkönkulutus*CO2-päästökerroin) + </t>
  </si>
  <si>
    <t>Soihdutus</t>
  </si>
  <si>
    <t>Soihdutus yksikkömuunnos</t>
  </si>
  <si>
    <t>sähkö(Biokaasulaskuri.fi)</t>
  </si>
  <si>
    <t xml:space="preserve">Käytetty energia </t>
  </si>
  <si>
    <t>lämpö (Biokaasulaskuri.fi)</t>
  </si>
  <si>
    <t>Lämmön kulutus reaktorit, biomassa</t>
  </si>
  <si>
    <t>Lämmön kulutus reaktorit, biomassan osuus, yksikkömuunnos</t>
  </si>
  <si>
    <r>
      <t>Päästövähennys on laskettu kaavalla (E</t>
    </r>
    <r>
      <rPr>
        <vertAlign val="subscript"/>
        <sz val="11"/>
        <rFont val="Calibri"/>
        <family val="2"/>
        <scheme val="minor"/>
      </rPr>
      <t>f</t>
    </r>
    <r>
      <rPr>
        <sz val="11"/>
        <rFont val="Calibri"/>
        <family val="2"/>
        <scheme val="minor"/>
      </rPr>
      <t>-E</t>
    </r>
    <r>
      <rPr>
        <vertAlign val="subscript"/>
        <sz val="11"/>
        <rFont val="Calibri"/>
        <family val="2"/>
        <scheme val="minor"/>
      </rPr>
      <t>b</t>
    </r>
    <r>
      <rPr>
        <sz val="11"/>
        <rFont val="Calibri"/>
        <family val="2"/>
        <scheme val="minor"/>
      </rPr>
      <t>)/E</t>
    </r>
    <r>
      <rPr>
        <vertAlign val="subscript"/>
        <sz val="11"/>
        <rFont val="Calibri"/>
        <family val="2"/>
        <scheme val="minor"/>
      </rPr>
      <t>f</t>
    </r>
    <r>
      <rPr>
        <sz val="11"/>
        <rFont val="Calibri"/>
        <family val="2"/>
        <scheme val="minor"/>
      </rPr>
      <t>, jossa E</t>
    </r>
    <r>
      <rPr>
        <vertAlign val="subscript"/>
        <sz val="11"/>
        <rFont val="Calibri"/>
        <family val="2"/>
        <scheme val="minor"/>
      </rPr>
      <t>f</t>
    </r>
    <r>
      <rPr>
        <sz val="11"/>
        <rFont val="Calibri"/>
        <family val="2"/>
        <scheme val="minor"/>
      </rPr>
      <t xml:space="preserve"> on fossiilinen vertailuarvo ja E</t>
    </r>
    <r>
      <rPr>
        <vertAlign val="subscript"/>
        <sz val="11"/>
        <rFont val="Calibri"/>
        <family val="2"/>
        <scheme val="minor"/>
      </rPr>
      <t>b</t>
    </r>
    <r>
      <rPr>
        <sz val="11"/>
        <rFont val="Calibri"/>
        <family val="2"/>
        <scheme val="minor"/>
      </rPr>
      <t xml:space="preserve"> on biometaanin päästö.</t>
    </r>
  </si>
  <si>
    <t xml:space="preserve"> ja 7 % laitteiden sähköntarpeisiin (Biokaasulaskuri.fi). </t>
  </si>
  <si>
    <t>https://portal.mtt.fi/images/sovellukset/biokaasu/biokaasulaskuri_ohjekirja.pdf</t>
  </si>
  <si>
    <t>Sähköntuotannon päästökerroin (Energiavirasto 2019)</t>
  </si>
  <si>
    <t>Lämmöntuotannonpäästökerroin (biokaasulla, Tilastoleskus 2019)</t>
  </si>
  <si>
    <t>Soihdutuksen energiahukka</t>
  </si>
  <si>
    <t>Biokaasun soihdutuksen määrä</t>
  </si>
  <si>
    <t xml:space="preserve"> kWh/v</t>
  </si>
  <si>
    <t>(ISCC 201-3 GUIDANCE FOR THE CERTIFICATION OF BIOGAS AND BIOMETHANE Version 3.1: )</t>
  </si>
  <si>
    <t>Puhdistamoliete</t>
  </si>
  <si>
    <t>Sivutuote:</t>
  </si>
  <si>
    <t>Biopolttoaineet:</t>
  </si>
  <si>
    <t>Tuote:</t>
  </si>
  <si>
    <t xml:space="preserve">Raaka-aineesta saatavan biokaasun määrä </t>
  </si>
  <si>
    <t>Biokaasussa olevan biometaanin määrä (60 %)</t>
  </si>
  <si>
    <t>Biokaasun energiasisältö (kirjallisuustieto)</t>
  </si>
  <si>
    <t>Käytetään biokaasuna</t>
  </si>
  <si>
    <t>Biokaasussa olevan biometaanin energiamäärä</t>
  </si>
  <si>
    <t>&gt;&gt; biometaaniksi laskettuna</t>
  </si>
  <si>
    <t>Biokaasua vuodessa</t>
  </si>
  <si>
    <t>Rejektilietteen (mädätysjäännös) energiasisältö (positiivinen vaikutus päästövähenemään)</t>
  </si>
  <si>
    <t xml:space="preserve">Todellisuudessa käytetty  sähkön määrä tulee jäämään alle biokaasulaskurissa käytetyn 7 %, </t>
  </si>
  <si>
    <t>mutta tarkkaa arvoa emme pysty vielä antamaan. Siksi käytämme vielä 7 % olettamaa.</t>
  </si>
  <si>
    <t>Kuiva-ainepitoisuus (TS)</t>
  </si>
  <si>
    <t>(Biokaasun koostumus ja rikkivetypitoisuuden hallinta. Timo Leikas, 2015.)</t>
  </si>
  <si>
    <t>Raaka-aineesta saatava energiamäärä</t>
  </si>
  <si>
    <t xml:space="preserve">Raaka-aineesta saatava energiamäärä, yksikkömuunnos </t>
  </si>
  <si>
    <t xml:space="preserve"> (biokaasun tuotannon lämmönkulutus*CO2-päästökerroin)+ (prosessista vuotava metaani*CO2-päästökerroin)/tuotetun biokaasun määrä). </t>
  </si>
  <si>
    <t>Biolaitoksen kestävyyslaskentaseloste:</t>
  </si>
  <si>
    <t>Biolaitoksen syötteet</t>
  </si>
  <si>
    <t>Mädätteen kuiva-aines</t>
  </si>
  <si>
    <t>Orgaaninen solujäte</t>
  </si>
  <si>
    <t>Ravinnerikas vesijae</t>
  </si>
  <si>
    <t>Ammonium konsentraatti</t>
  </si>
  <si>
    <t>Nestelannoite</t>
  </si>
  <si>
    <t>Käytetty energia</t>
  </si>
  <si>
    <t>Keräily</t>
  </si>
  <si>
    <t>Kuljetukset (puhdistamon jätevesilietteet, orgaaninen solujäte, ravinnerikas vesi)</t>
  </si>
  <si>
    <t>Pumppausten sähkönkulutuksen CO2 päästöt</t>
  </si>
  <si>
    <t>Pumppausten sähkönkulutus</t>
  </si>
  <si>
    <t>CO2 päästöt, sähkönkulutus reaktorit, biomassa</t>
  </si>
  <si>
    <t>CO2päästöt, lämmön kulutus reaktorit,  biomassan osuus</t>
  </si>
  <si>
    <t>Soihdutus (biokaasun)</t>
  </si>
  <si>
    <t>54,6 g CO2/MJ</t>
  </si>
  <si>
    <r>
      <t>Biometaanin tiheys= metaanin tiheys 0,0717 kg/m3 (15</t>
    </r>
    <r>
      <rPr>
        <sz val="11"/>
        <rFont val="Calibri"/>
        <family val="2"/>
      </rPr>
      <t xml:space="preserve">°C, 1 bar) </t>
    </r>
  </si>
  <si>
    <t xml:space="preserve">Kemikaalien käytön vaikutuksen kokonaispäästöihin arvioidaan olevan alle 1 %. Energiaviraston julkaisemassa Toiminnanharjoittajan kestävyyskriteeriohjeessa kerrotaan, </t>
  </si>
  <si>
    <t>Biokaasulaitos käyttää tuottamastaan kokonaisenergiasta noin 17 % lämmitykseen (syötteiden lämmitys/hygienisointi ja reaktorin lämpöhäviöt)</t>
  </si>
  <si>
    <t>Biokaasulaitoksen kulutuksella tarkoitetaan sitä energiamäärää, jonka biokaasulaitos käyttää.</t>
  </si>
  <si>
    <t>oma arvio</t>
  </si>
  <si>
    <t xml:space="preserve"> </t>
  </si>
  <si>
    <t>Käytössä oleva kemikaali on vaahdonestoaine. Sitä käytetään noin 2 m3 vuodessa (noin 2 t vuodessa).</t>
  </si>
  <si>
    <t>että tällaisen kokonaisuuden kannalta vähäisen tekijän voi jättää laskuissa huomioimatta (yht. 0,02  % vaikutus päästövähenemään).</t>
  </si>
  <si>
    <t>Toiminnasta syntyvän rejektin positiivinen vaikutus on myös laskettu, mutta sitä ei oteta mukaan (yht. 0,32 % vaikutus päästövähenemään).</t>
  </si>
  <si>
    <t>Lämpö</t>
  </si>
  <si>
    <t>Sähkö</t>
  </si>
  <si>
    <t xml:space="preserve">Jos biomassapolttoaineita käytetään liikenteen polttoaineina, </t>
  </si>
  <si>
    <t>3 kohdassa tarkoitettua laskentaa suoritettaessa fossiilinen vertailukohta EF(t) on 94 gCO2ekv/MJ.</t>
  </si>
  <si>
    <t xml:space="preserve">Jos biomassapolttoaineita käytetään hyötylämmön tuotannossa, jossa voidaan osoittaa hiilen suora fyysinen korvaaminen, </t>
  </si>
  <si>
    <t>3 kohdassa tarkoitettua laskentaa suoritettaessa fossiilinen vertailukohta ECF(h) on 124 gCO2ekv / lämmön megajoule.</t>
  </si>
  <si>
    <t>EUROOPAN PARLAMENTIN JA NEUVOSTON DIREKTIIVI (EU) 2018/2001</t>
  </si>
  <si>
    <t xml:space="preserve">Metaanin energiasisältö (https://www.kaasuyhdistys.fi/julkaisut/maakaasun-kasikirja/) </t>
  </si>
  <si>
    <r>
      <t>(E</t>
    </r>
    <r>
      <rPr>
        <sz val="6"/>
        <color theme="1"/>
        <rFont val="Calibri"/>
        <family val="2"/>
        <scheme val="minor"/>
      </rPr>
      <t>f</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</si>
</sst>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0"/>
    <numFmt numFmtId="166" formatCode="0.000"/>
    <numFmt numFmtId="167" formatCode="_-* #,##0\ _€_-;\-* #,##0\ _€_-;_-* &quot;-&quot;??\ _€_-;_-@_-"/>
    <numFmt numFmtId="168" formatCode="_-* #,##0.0\ _€_-;\-* #,##0.0\ _€_-;_-* &quot;-&quot;??\ _€_-;_-@_-"/>
    <numFmt numFmtId="169" formatCode="_-* #,##0\ _€_-;\-* #,##0\ _€_-;_-* &quot;-&quot;?\ _€_-;_-@_-"/>
    <numFmt numFmtId="170" formatCode="0.0\ %"/>
  </numFmts>
  <fonts count="30" x14ac:knownFonts="1">
    <font>
      <sz val="11"/>
      <color theme="1"/>
      <name val="Calibri"/>
      <family val="2"/>
      <scheme val="minor"/>
    </font>
    <font>
      <b/>
      <sz val="11"/>
      <color theme="1"/>
      <name val="Calibri"/>
      <family val="2"/>
      <scheme val="minor"/>
    </font>
    <font>
      <b/>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vertAlign val="subscript"/>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0"/>
      <color rgb="FF000000"/>
      <name val="Arial"/>
      <family val="2"/>
    </font>
    <font>
      <b/>
      <i/>
      <sz val="11"/>
      <color theme="1"/>
      <name val="Calibri"/>
      <family val="2"/>
      <scheme val="minor"/>
    </font>
    <font>
      <sz val="10"/>
      <color rgb="FF000000"/>
      <name val="Arial"/>
      <family val="2"/>
    </font>
    <font>
      <b/>
      <sz val="11"/>
      <name val="Calibri"/>
      <family val="2"/>
      <scheme val="minor"/>
    </font>
    <font>
      <sz val="11"/>
      <color rgb="FFFF0000"/>
      <name val="Calibri"/>
      <family val="2"/>
      <scheme val="minor"/>
    </font>
    <font>
      <b/>
      <sz val="11"/>
      <color rgb="FFFF0000"/>
      <name val="Calibri"/>
      <family val="2"/>
      <scheme val="minor"/>
    </font>
    <font>
      <b/>
      <sz val="13"/>
      <color theme="1"/>
      <name val="Calibri"/>
      <family val="2"/>
      <scheme val="minor"/>
    </font>
    <font>
      <b/>
      <sz val="14"/>
      <color rgb="FFFF0000"/>
      <name val="Calibri"/>
      <family val="2"/>
      <scheme val="minor"/>
    </font>
    <font>
      <vertAlign val="subscript"/>
      <sz val="11"/>
      <name val="Calibri"/>
      <family val="2"/>
      <scheme val="minor"/>
    </font>
    <font>
      <b/>
      <sz val="14"/>
      <name val="Calibri"/>
      <family val="2"/>
      <scheme val="minor"/>
    </font>
    <font>
      <u/>
      <sz val="11"/>
      <color theme="10"/>
      <name val="Calibri"/>
      <family val="2"/>
      <scheme val="minor"/>
    </font>
    <font>
      <b/>
      <sz val="11"/>
      <color rgb="FF002060"/>
      <name val="Calibri"/>
      <family val="2"/>
      <scheme val="minor"/>
    </font>
    <font>
      <sz val="11"/>
      <color rgb="FF002060"/>
      <name val="Calibri"/>
      <family val="2"/>
      <scheme val="minor"/>
    </font>
    <font>
      <u/>
      <sz val="11"/>
      <name val="Calibri"/>
      <family val="2"/>
      <scheme val="minor"/>
    </font>
    <font>
      <sz val="8"/>
      <name val="Calibri"/>
      <family val="2"/>
      <scheme val="minor"/>
    </font>
    <font>
      <b/>
      <sz val="12"/>
      <name val="Calibri"/>
      <family val="2"/>
      <scheme val="minor"/>
    </font>
    <font>
      <sz val="12"/>
      <name val="Calibri"/>
      <family val="2"/>
      <scheme val="minor"/>
    </font>
    <font>
      <i/>
      <sz val="11"/>
      <name val="Calibri"/>
      <family val="2"/>
      <scheme val="minor"/>
    </font>
    <font>
      <sz val="11"/>
      <name val="Calibri"/>
      <family val="2"/>
    </font>
    <font>
      <sz val="6"/>
      <color theme="1"/>
      <name val="Calibri"/>
      <family val="2"/>
      <scheme val="minor"/>
    </font>
  </fonts>
  <fills count="2">
    <fill>
      <patternFill patternType="none"/>
    </fill>
    <fill>
      <patternFill patternType="gray125"/>
    </fill>
  </fills>
  <borders count="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rgb="FFFF0000"/>
      </bottom>
      <diagonal/>
    </border>
  </borders>
  <cellStyleXfs count="6">
    <xf numFmtId="0" fontId="0" fillId="0" borderId="0"/>
    <xf numFmtId="164" fontId="3" fillId="0" borderId="0" applyFont="0" applyFill="0" applyBorder="0" applyAlignment="0" applyProtection="0"/>
    <xf numFmtId="0" fontId="10" fillId="0" borderId="0"/>
    <xf numFmtId="164" fontId="3" fillId="0" borderId="0" applyFont="0" applyFill="0" applyBorder="0" applyAlignment="0" applyProtection="0"/>
    <xf numFmtId="0" fontId="12" fillId="0" borderId="0"/>
    <xf numFmtId="0" fontId="20" fillId="0" borderId="0" applyNumberFormat="0" applyFill="0" applyBorder="0" applyAlignment="0" applyProtection="0"/>
  </cellStyleXfs>
  <cellXfs count="12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0" fillId="0" borderId="0" xfId="0" applyAlignment="1">
      <alignment wrapText="1"/>
    </xf>
    <xf numFmtId="167" fontId="0" fillId="0" borderId="0" xfId="1" applyNumberFormat="1" applyFont="1"/>
    <xf numFmtId="0" fontId="0" fillId="0" borderId="3" xfId="0" applyBorder="1"/>
    <xf numFmtId="0" fontId="7" fillId="0" borderId="0" xfId="0" applyFont="1"/>
    <xf numFmtId="167" fontId="5" fillId="0" borderId="0" xfId="1" applyNumberFormat="1" applyFont="1"/>
    <xf numFmtId="167" fontId="5" fillId="0" borderId="0" xfId="1" applyNumberFormat="1" applyFont="1" applyAlignment="1">
      <alignment horizontal="right"/>
    </xf>
    <xf numFmtId="0" fontId="5" fillId="0" borderId="0" xfId="0" applyFont="1" applyAlignment="1">
      <alignment horizontal="right"/>
    </xf>
    <xf numFmtId="164" fontId="1" fillId="0" borderId="0" xfId="1" applyFont="1"/>
    <xf numFmtId="164" fontId="3" fillId="0" borderId="0" xfId="1"/>
    <xf numFmtId="167" fontId="3" fillId="0" borderId="0" xfId="1" applyNumberFormat="1"/>
    <xf numFmtId="0" fontId="0" fillId="0" borderId="0" xfId="0" quotePrefix="1"/>
    <xf numFmtId="0" fontId="0" fillId="0" borderId="0" xfId="0" applyAlignment="1">
      <alignment vertical="center"/>
    </xf>
    <xf numFmtId="0" fontId="13" fillId="0" borderId="0" xfId="0" applyFont="1"/>
    <xf numFmtId="0" fontId="14" fillId="0" borderId="0" xfId="0" applyFont="1"/>
    <xf numFmtId="167" fontId="14" fillId="0" borderId="0" xfId="1" applyNumberFormat="1" applyFont="1"/>
    <xf numFmtId="0" fontId="15" fillId="0" borderId="0" xfId="0" applyFont="1"/>
    <xf numFmtId="164" fontId="14" fillId="0" borderId="0" xfId="1" applyFont="1"/>
    <xf numFmtId="167" fontId="15" fillId="0" borderId="0" xfId="0" applyNumberFormat="1" applyFont="1"/>
    <xf numFmtId="0" fontId="16" fillId="0" borderId="0" xfId="0" applyFont="1" applyAlignment="1">
      <alignment vertical="top"/>
    </xf>
    <xf numFmtId="167" fontId="3" fillId="0" borderId="0" xfId="0" applyNumberFormat="1" applyFont="1"/>
    <xf numFmtId="167" fontId="3" fillId="0" borderId="0" xfId="1" applyNumberFormat="1" applyAlignment="1">
      <alignment horizontal="center"/>
    </xf>
    <xf numFmtId="167" fontId="3" fillId="0" borderId="0" xfId="1" applyNumberFormat="1" applyAlignment="1">
      <alignment horizontal="right"/>
    </xf>
    <xf numFmtId="0" fontId="3" fillId="0" borderId="3" xfId="0" applyFont="1" applyBorder="1"/>
    <xf numFmtId="2" fontId="13" fillId="0" borderId="3" xfId="0" applyNumberFormat="1" applyFont="1" applyBorder="1"/>
    <xf numFmtId="0" fontId="3" fillId="0" borderId="0" xfId="0" applyFont="1" applyAlignment="1">
      <alignment wrapText="1"/>
    </xf>
    <xf numFmtId="0" fontId="8" fillId="0" borderId="1" xfId="0" applyFont="1" applyBorder="1"/>
    <xf numFmtId="0" fontId="9" fillId="0" borderId="2" xfId="0" applyFont="1" applyBorder="1"/>
    <xf numFmtId="167" fontId="17" fillId="0" borderId="0" xfId="1" applyNumberFormat="1" applyFont="1"/>
    <xf numFmtId="0" fontId="17" fillId="0" borderId="0" xfId="0" applyFont="1"/>
    <xf numFmtId="164" fontId="13" fillId="0" borderId="0" xfId="1" applyFont="1"/>
    <xf numFmtId="164" fontId="3" fillId="0" borderId="0" xfId="0" applyNumberFormat="1" applyFont="1"/>
    <xf numFmtId="164" fontId="14" fillId="0" borderId="0" xfId="0" applyNumberFormat="1" applyFont="1"/>
    <xf numFmtId="0" fontId="5" fillId="0" borderId="0" xfId="0" applyFont="1" applyAlignment="1">
      <alignment vertical="center"/>
    </xf>
    <xf numFmtId="3" fontId="5" fillId="0" borderId="0" xfId="0" applyNumberFormat="1" applyFont="1" applyAlignment="1">
      <alignment horizontal="center" vertical="center"/>
    </xf>
    <xf numFmtId="167" fontId="5" fillId="0" borderId="0" xfId="1" applyNumberFormat="1" applyFont="1" applyAlignment="1">
      <alignment horizontal="right" vertical="center"/>
    </xf>
    <xf numFmtId="9" fontId="5" fillId="0" borderId="0" xfId="0" applyNumberFormat="1" applyFont="1"/>
    <xf numFmtId="0" fontId="19" fillId="0" borderId="0" xfId="0" applyFont="1"/>
    <xf numFmtId="168" fontId="5" fillId="0" borderId="0" xfId="1" applyNumberFormat="1" applyFont="1"/>
    <xf numFmtId="165" fontId="5" fillId="0" borderId="0" xfId="0" applyNumberFormat="1" applyFont="1"/>
    <xf numFmtId="0" fontId="5" fillId="0" borderId="3" xfId="0" applyFont="1" applyBorder="1"/>
    <xf numFmtId="0" fontId="5" fillId="0" borderId="0" xfId="0" applyFont="1" applyAlignment="1">
      <alignment wrapText="1"/>
    </xf>
    <xf numFmtId="167" fontId="14" fillId="0" borderId="0" xfId="0" applyNumberFormat="1" applyFont="1"/>
    <xf numFmtId="1" fontId="5" fillId="0" borderId="0" xfId="0" applyNumberFormat="1" applyFont="1"/>
    <xf numFmtId="0" fontId="20" fillId="0" borderId="0" xfId="5"/>
    <xf numFmtId="0" fontId="21" fillId="0" borderId="0" xfId="0" applyFont="1"/>
    <xf numFmtId="0" fontId="22" fillId="0" borderId="0" xfId="0" applyFont="1"/>
    <xf numFmtId="167" fontId="13" fillId="0" borderId="0" xfId="1" applyNumberFormat="1" applyFont="1"/>
    <xf numFmtId="167" fontId="19" fillId="0" borderId="0" xfId="1" applyNumberFormat="1" applyFont="1"/>
    <xf numFmtId="167" fontId="5" fillId="0" borderId="4" xfId="0" applyNumberFormat="1" applyFont="1" applyBorder="1"/>
    <xf numFmtId="0" fontId="14" fillId="0" borderId="0" xfId="0" applyFont="1" applyBorder="1"/>
    <xf numFmtId="0" fontId="4" fillId="0" borderId="0" xfId="0" applyFont="1" applyBorder="1"/>
    <xf numFmtId="167" fontId="15" fillId="0" borderId="0" xfId="1" applyNumberFormat="1" applyFont="1" applyBorder="1"/>
    <xf numFmtId="0" fontId="5" fillId="0" borderId="0" xfId="0" applyFont="1" applyBorder="1"/>
    <xf numFmtId="167" fontId="14" fillId="0" borderId="0" xfId="0" applyNumberFormat="1" applyFont="1" applyBorder="1" applyAlignment="1">
      <alignment horizontal="right"/>
    </xf>
    <xf numFmtId="0" fontId="13" fillId="0" borderId="0" xfId="0" applyFont="1" applyBorder="1"/>
    <xf numFmtId="9" fontId="5" fillId="0" borderId="0" xfId="0" applyNumberFormat="1" applyFont="1" applyBorder="1"/>
    <xf numFmtId="0" fontId="21" fillId="0" borderId="0" xfId="0" quotePrefix="1" applyFont="1"/>
    <xf numFmtId="167" fontId="5" fillId="0" borderId="0" xfId="1" applyNumberFormat="1" applyFont="1" applyAlignment="1"/>
    <xf numFmtId="0" fontId="23" fillId="0" borderId="0" xfId="5" applyFont="1"/>
    <xf numFmtId="167" fontId="5" fillId="0" borderId="0" xfId="0" applyNumberFormat="1" applyFont="1"/>
    <xf numFmtId="167" fontId="13" fillId="0" borderId="0" xfId="0" applyNumberFormat="1" applyFont="1"/>
    <xf numFmtId="169" fontId="13" fillId="0" borderId="0" xfId="0" applyNumberFormat="1" applyFont="1"/>
    <xf numFmtId="167" fontId="13" fillId="0" borderId="0" xfId="0" applyNumberFormat="1" applyFont="1" applyBorder="1"/>
    <xf numFmtId="167" fontId="13" fillId="0" borderId="3" xfId="1" applyNumberFormat="1" applyFont="1" applyBorder="1"/>
    <xf numFmtId="0" fontId="5" fillId="0" borderId="6" xfId="0" applyFont="1" applyBorder="1"/>
    <xf numFmtId="9" fontId="14" fillId="0" borderId="0" xfId="0" applyNumberFormat="1" applyFont="1" applyBorder="1"/>
    <xf numFmtId="0" fontId="15" fillId="0" borderId="0" xfId="0" applyFont="1" applyBorder="1"/>
    <xf numFmtId="0" fontId="0" fillId="0" borderId="0" xfId="0" applyBorder="1"/>
    <xf numFmtId="0" fontId="25" fillId="0" borderId="0" xfId="0" applyFont="1"/>
    <xf numFmtId="0" fontId="26" fillId="0" borderId="0" xfId="0" applyFont="1"/>
    <xf numFmtId="0" fontId="19" fillId="0" borderId="3" xfId="0" applyFont="1" applyBorder="1"/>
    <xf numFmtId="167" fontId="19" fillId="0" borderId="3" xfId="1" applyNumberFormat="1" applyFont="1" applyBorder="1"/>
    <xf numFmtId="0" fontId="19" fillId="0" borderId="4" xfId="0" applyFont="1" applyBorder="1"/>
    <xf numFmtId="167" fontId="19" fillId="0" borderId="4" xfId="0" applyNumberFormat="1" applyFont="1" applyBorder="1"/>
    <xf numFmtId="0" fontId="25" fillId="0" borderId="3" xfId="0" applyFont="1" applyBorder="1"/>
    <xf numFmtId="0" fontId="25" fillId="0" borderId="4" xfId="0" applyFont="1" applyBorder="1" applyAlignment="1">
      <alignment wrapText="1"/>
    </xf>
    <xf numFmtId="0" fontId="5" fillId="0" borderId="4" xfId="0" applyFont="1" applyBorder="1"/>
    <xf numFmtId="0" fontId="19" fillId="0" borderId="4" xfId="0" applyFont="1" applyBorder="1" applyAlignment="1">
      <alignment wrapText="1"/>
    </xf>
    <xf numFmtId="167" fontId="5" fillId="0" borderId="0" xfId="0" applyNumberFormat="1" applyFont="1" applyBorder="1"/>
    <xf numFmtId="164" fontId="13" fillId="0" borderId="3" xfId="1" applyNumberFormat="1" applyFont="1" applyBorder="1"/>
    <xf numFmtId="0" fontId="27" fillId="0" borderId="0" xfId="0" applyFont="1"/>
    <xf numFmtId="167" fontId="5" fillId="0" borderId="0" xfId="0" applyNumberFormat="1" applyFont="1" applyAlignment="1">
      <alignment horizontal="left"/>
    </xf>
    <xf numFmtId="167" fontId="13" fillId="0" borderId="0" xfId="0" applyNumberFormat="1" applyFont="1" applyAlignment="1">
      <alignment horizontal="right"/>
    </xf>
    <xf numFmtId="168" fontId="13" fillId="0" borderId="0" xfId="0" applyNumberFormat="1" applyFont="1" applyAlignment="1">
      <alignment horizontal="right"/>
    </xf>
    <xf numFmtId="165" fontId="13" fillId="0" borderId="0" xfId="0" applyNumberFormat="1" applyFont="1"/>
    <xf numFmtId="166" fontId="13" fillId="0" borderId="0" xfId="0" applyNumberFormat="1" applyFont="1"/>
    <xf numFmtId="167" fontId="5" fillId="0" borderId="3" xfId="1" applyNumberFormat="1" applyFont="1" applyBorder="1"/>
    <xf numFmtId="164" fontId="5" fillId="0" borderId="0" xfId="1" applyNumberFormat="1" applyFont="1"/>
    <xf numFmtId="0" fontId="0" fillId="0" borderId="0" xfId="0" applyFont="1"/>
    <xf numFmtId="0" fontId="22" fillId="0" borderId="0" xfId="0" applyFont="1" applyBorder="1"/>
    <xf numFmtId="167" fontId="22" fillId="0" borderId="0" xfId="1" applyNumberFormat="1" applyFont="1" applyBorder="1"/>
    <xf numFmtId="167" fontId="22" fillId="0" borderId="0" xfId="0" applyNumberFormat="1" applyFont="1" applyBorder="1"/>
    <xf numFmtId="167" fontId="22" fillId="0" borderId="0" xfId="0" quotePrefix="1" applyNumberFormat="1" applyFont="1" applyBorder="1"/>
    <xf numFmtId="0" fontId="21" fillId="0" borderId="0" xfId="0" applyFont="1" applyBorder="1"/>
    <xf numFmtId="165" fontId="22" fillId="0" borderId="0" xfId="0" applyNumberFormat="1" applyFont="1" applyBorder="1"/>
    <xf numFmtId="166" fontId="22" fillId="0" borderId="0" xfId="0" applyNumberFormat="1" applyFont="1" applyBorder="1"/>
    <xf numFmtId="165" fontId="21" fillId="0" borderId="0" xfId="0" applyNumberFormat="1" applyFont="1" applyBorder="1"/>
    <xf numFmtId="0" fontId="0" fillId="0" borderId="0" xfId="0" applyFill="1" applyBorder="1"/>
    <xf numFmtId="165" fontId="0" fillId="0" borderId="0" xfId="0" applyNumberFormat="1" applyFill="1" applyBorder="1"/>
    <xf numFmtId="0" fontId="11" fillId="0" borderId="0" xfId="0" applyFont="1" applyFill="1" applyBorder="1"/>
    <xf numFmtId="166" fontId="0" fillId="0" borderId="0" xfId="0" applyNumberFormat="1" applyFill="1" applyBorder="1"/>
    <xf numFmtId="165" fontId="3" fillId="0" borderId="0" xfId="0" applyNumberFormat="1" applyFont="1"/>
    <xf numFmtId="0" fontId="3" fillId="0" borderId="0" xfId="0" applyFont="1" applyBorder="1"/>
    <xf numFmtId="166" fontId="15" fillId="0" borderId="0" xfId="0" applyNumberFormat="1" applyFont="1" applyBorder="1"/>
    <xf numFmtId="3" fontId="5" fillId="0" borderId="0" xfId="0" applyNumberFormat="1" applyFont="1"/>
    <xf numFmtId="3" fontId="0" fillId="0" borderId="0" xfId="0" applyNumberFormat="1"/>
    <xf numFmtId="3" fontId="5" fillId="0" borderId="0" xfId="0" applyNumberFormat="1" applyFont="1" applyAlignment="1">
      <alignment horizontal="right"/>
    </xf>
    <xf numFmtId="167" fontId="5" fillId="0" borderId="0" xfId="1" applyNumberFormat="1" applyFont="1" applyBorder="1"/>
    <xf numFmtId="168" fontId="19" fillId="0" borderId="3" xfId="0" applyNumberFormat="1" applyFont="1" applyBorder="1"/>
    <xf numFmtId="165" fontId="19" fillId="0" borderId="5" xfId="0" applyNumberFormat="1" applyFont="1" applyBorder="1"/>
    <xf numFmtId="2" fontId="13" fillId="0" borderId="0" xfId="0" applyNumberFormat="1" applyFont="1" applyBorder="1"/>
    <xf numFmtId="9" fontId="5" fillId="0" borderId="0" xfId="0" applyNumberFormat="1" applyFont="1" applyBorder="1" applyAlignment="1">
      <alignment horizontal="right"/>
    </xf>
    <xf numFmtId="0" fontId="5" fillId="0" borderId="0" xfId="0" applyFont="1" applyAlignment="1">
      <alignment horizontal="left"/>
    </xf>
    <xf numFmtId="9" fontId="5" fillId="0" borderId="6" xfId="0" applyNumberFormat="1" applyFont="1" applyBorder="1" applyAlignment="1">
      <alignment horizontal="right"/>
    </xf>
    <xf numFmtId="167" fontId="13" fillId="0" borderId="0" xfId="1" applyNumberFormat="1" applyFont="1" applyAlignment="1">
      <alignment horizontal="right"/>
    </xf>
    <xf numFmtId="9" fontId="13" fillId="0" borderId="0" xfId="0" applyNumberFormat="1" applyFont="1" applyAlignment="1">
      <alignment horizontal="right"/>
    </xf>
    <xf numFmtId="170" fontId="13" fillId="0" borderId="0" xfId="0" applyNumberFormat="1" applyFont="1" applyAlignment="1">
      <alignment horizontal="right"/>
    </xf>
    <xf numFmtId="9" fontId="22" fillId="0" borderId="0" xfId="0" applyNumberFormat="1" applyFont="1" applyBorder="1"/>
    <xf numFmtId="165" fontId="13" fillId="0" borderId="0" xfId="0" applyNumberFormat="1" applyFont="1" applyBorder="1"/>
    <xf numFmtId="0" fontId="5" fillId="0" borderId="0" xfId="0" applyFont="1" applyAlignment="1">
      <alignment horizontal="left" vertical="top" wrapText="1"/>
    </xf>
  </cellXfs>
  <cellStyles count="6">
    <cellStyle name="Hyperlinkki" xfId="5" builtinId="8"/>
    <cellStyle name="Normaali" xfId="0" builtinId="0"/>
    <cellStyle name="Normaali 2" xfId="2" xr:uid="{2FD4F4AB-4161-41BB-A157-ECF524F629A1}"/>
    <cellStyle name="Normaali 2 2" xfId="4" xr:uid="{2FD4F4AB-4161-41BB-A157-ECF524F629A1}"/>
    <cellStyle name="Pilkku" xfId="1" builtinId="3"/>
    <cellStyle name="Pilkku 2" xfId="3"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581025</xdr:colOff>
          <xdr:row>18</xdr:row>
          <xdr:rowOff>133350</xdr:rowOff>
        </xdr:from>
        <xdr:to>
          <xdr:col>2</xdr:col>
          <xdr:colOff>438150</xdr:colOff>
          <xdr:row>23</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484823</xdr:colOff>
      <xdr:row>2</xdr:row>
      <xdr:rowOff>173938</xdr:rowOff>
    </xdr:from>
    <xdr:to>
      <xdr:col>13</xdr:col>
      <xdr:colOff>1046737</xdr:colOff>
      <xdr:row>16</xdr:row>
      <xdr:rowOff>57987</xdr:rowOff>
    </xdr:to>
    <xdr:pic>
      <xdr:nvPicPr>
        <xdr:cNvPr id="2" name="Kuva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94648" y="3431488"/>
          <a:ext cx="7271324" cy="3631184"/>
        </a:xfrm>
        <a:prstGeom prst="rect">
          <a:avLst/>
        </a:prstGeom>
      </xdr:spPr>
    </xdr:pic>
    <xdr:clientData/>
  </xdr:twoCellAnchor>
  <xdr:twoCellAnchor>
    <xdr:from>
      <xdr:col>2</xdr:col>
      <xdr:colOff>81915</xdr:colOff>
      <xdr:row>6</xdr:row>
      <xdr:rowOff>38100</xdr:rowOff>
    </xdr:from>
    <xdr:to>
      <xdr:col>3</xdr:col>
      <xdr:colOff>219075</xdr:colOff>
      <xdr:row>6</xdr:row>
      <xdr:rowOff>38100</xdr:rowOff>
    </xdr:to>
    <xdr:cxnSp macro="">
      <xdr:nvCxnSpPr>
        <xdr:cNvPr id="4" name="Suora nuoliyhdysviiva 3">
          <a:extLst>
            <a:ext uri="{FF2B5EF4-FFF2-40B4-BE49-F238E27FC236}">
              <a16:creationId xmlns:a16="http://schemas.microsoft.com/office/drawing/2014/main" id="{00000000-0008-0000-0100-000004000000}"/>
            </a:ext>
          </a:extLst>
        </xdr:cNvPr>
        <xdr:cNvCxnSpPr/>
      </xdr:nvCxnSpPr>
      <xdr:spPr>
        <a:xfrm>
          <a:off x="2491740" y="4067175"/>
          <a:ext cx="746760" cy="0"/>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17</xdr:row>
      <xdr:rowOff>121920</xdr:rowOff>
    </xdr:from>
    <xdr:to>
      <xdr:col>12</xdr:col>
      <xdr:colOff>236220</xdr:colOff>
      <xdr:row>17</xdr:row>
      <xdr:rowOff>123825</xdr:rowOff>
    </xdr:to>
    <xdr:cxnSp macro="">
      <xdr:nvCxnSpPr>
        <xdr:cNvPr id="5" name="Suora nuoliyhdysviiva 4">
          <a:extLst>
            <a:ext uri="{FF2B5EF4-FFF2-40B4-BE49-F238E27FC236}">
              <a16:creationId xmlns:a16="http://schemas.microsoft.com/office/drawing/2014/main" id="{00000000-0008-0000-0100-000005000000}"/>
            </a:ext>
          </a:extLst>
        </xdr:cNvPr>
        <xdr:cNvCxnSpPr/>
      </xdr:nvCxnSpPr>
      <xdr:spPr>
        <a:xfrm flipV="1">
          <a:off x="5934075" y="4408170"/>
          <a:ext cx="2807970" cy="1905"/>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portal.mtt.fi/images/sovellukset/biokaasu/biokaasulaskuri_ohjekirja.pd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heseus.fi/bitstream/handle/10024/90984/Leikas_Timo.pdf?sequence=1&amp;isAllowed=y" TargetMode="External"/><Relationship Id="rId1" Type="http://schemas.openxmlformats.org/officeDocument/2006/relationships/hyperlink" Target="https://www.iscc-system.org/wp-content/uploads/2017/02/ISCC-Guidance-Document-201-3_Biogas-and-biomethane.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1EA9-C4D1-4549-BE25-387BB17CFC7C}">
  <dimension ref="A1:L18"/>
  <sheetViews>
    <sheetView workbookViewId="0">
      <selection activeCell="J1" sqref="J1"/>
    </sheetView>
  </sheetViews>
  <sheetFormatPr defaultRowHeight="15" x14ac:dyDescent="0.25"/>
  <sheetData>
    <row r="1" spans="1:12" x14ac:dyDescent="0.25">
      <c r="I1" s="19"/>
      <c r="J1" s="19"/>
      <c r="K1" s="19"/>
      <c r="L1" s="19"/>
    </row>
    <row r="2" spans="1:12" ht="17.25" x14ac:dyDescent="0.25">
      <c r="A2" s="24" t="s">
        <v>48</v>
      </c>
    </row>
    <row r="3" spans="1:12" x14ac:dyDescent="0.25">
      <c r="A3" s="17" t="s">
        <v>60</v>
      </c>
    </row>
    <row r="5" spans="1:12" ht="18" x14ac:dyDescent="0.25">
      <c r="A5" s="17" t="s">
        <v>49</v>
      </c>
    </row>
    <row r="6" spans="1:12" x14ac:dyDescent="0.25">
      <c r="A6" t="s">
        <v>84</v>
      </c>
    </row>
    <row r="7" spans="1:12" x14ac:dyDescent="0.25">
      <c r="A7" t="s">
        <v>119</v>
      </c>
    </row>
    <row r="9" spans="1:12" x14ac:dyDescent="0.25">
      <c r="A9" s="5" t="s">
        <v>142</v>
      </c>
    </row>
    <row r="10" spans="1:12" x14ac:dyDescent="0.25">
      <c r="A10" s="21"/>
    </row>
    <row r="11" spans="1:12" x14ac:dyDescent="0.25">
      <c r="A11" t="s">
        <v>137</v>
      </c>
    </row>
    <row r="12" spans="1:12" x14ac:dyDescent="0.25">
      <c r="A12" s="5" t="s">
        <v>143</v>
      </c>
    </row>
    <row r="13" spans="1:12" x14ac:dyDescent="0.25">
      <c r="A13" s="5"/>
    </row>
    <row r="14" spans="1:12" x14ac:dyDescent="0.25">
      <c r="A14" s="5" t="s">
        <v>144</v>
      </c>
    </row>
    <row r="15" spans="1:12" x14ac:dyDescent="0.25">
      <c r="A15" s="5"/>
    </row>
    <row r="16" spans="1:12" ht="18" x14ac:dyDescent="0.25">
      <c r="A16" s="38" t="s">
        <v>92</v>
      </c>
    </row>
    <row r="18" spans="1:1" x14ac:dyDescent="0.25">
      <c r="A18" s="5" t="s">
        <v>120</v>
      </c>
    </row>
  </sheetData>
  <sheetProtection algorithmName="SHA-512" hashValue="c115iojfeEuzAdMycJTSUUQIVjrYSqde912Qpxxi97nj429ldoCT+2sdkOlKgnEJ5uvN5JnrhrS4H2/O9CAyAQ==" saltValue="l4JQ7Fbu6Q/GbYbupeusgQ==" spinCount="100000" sheet="1" objects="1" scenarios="1"/>
  <pageMargins left="0.7" right="0.7" top="0.75" bottom="0.75" header="0.3" footer="0.3"/>
  <pageSetup paperSize="9" orientation="portrait" verticalDpi="0" r:id="rId1"/>
  <drawing r:id="rId2"/>
  <legacyDrawing r:id="rId3"/>
  <oleObjects>
    <mc:AlternateContent xmlns:mc="http://schemas.openxmlformats.org/markup-compatibility/2006">
      <mc:Choice Requires="x14">
        <oleObject progId="Document" dvAspect="DVASPECT_ICON" shapeId="1025" r:id="rId4">
          <objectPr defaultSize="0" autoPict="0" r:id="rId5">
            <anchor moveWithCells="1">
              <from>
                <xdr:col>0</xdr:col>
                <xdr:colOff>581025</xdr:colOff>
                <xdr:row>18</xdr:row>
                <xdr:rowOff>133350</xdr:rowOff>
              </from>
              <to>
                <xdr:col>2</xdr:col>
                <xdr:colOff>438150</xdr:colOff>
                <xdr:row>23</xdr:row>
                <xdr:rowOff>0</xdr:rowOff>
              </to>
            </anchor>
          </objectPr>
        </oleObject>
      </mc:Choice>
      <mc:Fallback>
        <oleObject progId="Document"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5B04-43B3-4A11-9320-A7AB3DD23BB8}">
  <dimension ref="A5:T29"/>
  <sheetViews>
    <sheetView workbookViewId="0">
      <selection activeCell="O6" sqref="O6"/>
    </sheetView>
  </sheetViews>
  <sheetFormatPr defaultRowHeight="15" x14ac:dyDescent="0.25"/>
  <cols>
    <col min="1" max="1" width="24.28515625" customWidth="1"/>
    <col min="2" max="2" width="10.85546875" bestFit="1" customWidth="1"/>
    <col min="14" max="14" width="23.140625" customWidth="1"/>
    <col min="15" max="15" width="14.5703125" customWidth="1"/>
    <col min="16" max="16" width="14.42578125" customWidth="1"/>
    <col min="17" max="17" width="11.5703125" customWidth="1"/>
    <col min="18" max="18" width="13.85546875" customWidth="1"/>
    <col min="19" max="19" width="12.85546875" customWidth="1"/>
  </cols>
  <sheetData>
    <row r="5" spans="1:3" ht="18.75" x14ac:dyDescent="0.3">
      <c r="A5" s="42" t="s">
        <v>121</v>
      </c>
      <c r="B5" s="18"/>
    </row>
    <row r="6" spans="1:3" x14ac:dyDescent="0.25">
      <c r="A6" s="5" t="s">
        <v>123</v>
      </c>
      <c r="B6" s="12" t="s">
        <v>39</v>
      </c>
      <c r="C6" s="5"/>
    </row>
    <row r="7" spans="1:3" x14ac:dyDescent="0.25">
      <c r="A7" t="s">
        <v>124</v>
      </c>
      <c r="B7" s="110">
        <v>57000</v>
      </c>
      <c r="C7" s="5"/>
    </row>
    <row r="8" spans="1:3" x14ac:dyDescent="0.25">
      <c r="A8" s="5" t="s">
        <v>101</v>
      </c>
      <c r="B8" s="5"/>
      <c r="C8" s="5"/>
    </row>
    <row r="9" spans="1:3" x14ac:dyDescent="0.25">
      <c r="A9" s="5"/>
      <c r="B9" s="5"/>
      <c r="C9" s="5"/>
    </row>
    <row r="10" spans="1:3" x14ac:dyDescent="0.25">
      <c r="A10" s="5"/>
      <c r="B10" s="5"/>
      <c r="C10" s="5"/>
    </row>
    <row r="11" spans="1:3" x14ac:dyDescent="0.25">
      <c r="A11" s="5"/>
      <c r="B11" s="5"/>
      <c r="C11" s="5"/>
    </row>
    <row r="12" spans="1:3" ht="30.75" customHeight="1" x14ac:dyDescent="0.25">
      <c r="A12" s="5"/>
      <c r="B12" s="5"/>
      <c r="C12" s="5"/>
    </row>
    <row r="13" spans="1:3" ht="51.75" customHeight="1" x14ac:dyDescent="0.25">
      <c r="A13" s="5"/>
      <c r="B13" s="5"/>
      <c r="C13" s="5"/>
    </row>
    <row r="14" spans="1:3" ht="51.75" customHeight="1" x14ac:dyDescent="0.25">
      <c r="A14" s="58"/>
      <c r="B14" s="58"/>
      <c r="C14" s="5"/>
    </row>
    <row r="15" spans="1:3" x14ac:dyDescent="0.25">
      <c r="A15" s="5"/>
      <c r="B15" s="10"/>
      <c r="C15" s="5"/>
    </row>
    <row r="18" spans="14:20" ht="18.75" x14ac:dyDescent="0.3">
      <c r="N18" s="42" t="s">
        <v>104</v>
      </c>
      <c r="O18" s="5"/>
      <c r="P18" s="5"/>
      <c r="Q18" s="5"/>
      <c r="R18" s="5"/>
      <c r="S18" s="5"/>
    </row>
    <row r="19" spans="14:20" x14ac:dyDescent="0.25">
      <c r="N19" s="18" t="s">
        <v>103</v>
      </c>
      <c r="O19" s="5"/>
      <c r="P19" s="5"/>
      <c r="Q19" s="5"/>
      <c r="R19" s="5"/>
      <c r="S19" s="5"/>
    </row>
    <row r="20" spans="14:20" x14ac:dyDescent="0.25">
      <c r="N20" s="5" t="s">
        <v>111</v>
      </c>
      <c r="O20" s="63">
        <v>2116666</v>
      </c>
      <c r="P20" s="5" t="s">
        <v>8</v>
      </c>
      <c r="Q20" s="5" t="s">
        <v>110</v>
      </c>
      <c r="R20" s="5"/>
      <c r="S20" s="10">
        <f>O20*0.6</f>
        <v>1269999.5999999999</v>
      </c>
      <c r="T20" s="5" t="s">
        <v>8</v>
      </c>
    </row>
    <row r="21" spans="14:20" x14ac:dyDescent="0.25">
      <c r="N21" s="125"/>
      <c r="O21" s="125"/>
      <c r="P21" s="5"/>
      <c r="Q21" s="5"/>
    </row>
    <row r="22" spans="14:20" ht="14.45" customHeight="1" x14ac:dyDescent="0.25">
      <c r="N22" s="5" t="s">
        <v>117</v>
      </c>
      <c r="O22" s="5"/>
      <c r="P22" s="63">
        <v>12700000</v>
      </c>
      <c r="Q22" s="5" t="s">
        <v>10</v>
      </c>
      <c r="R22" s="5"/>
      <c r="S22" s="5"/>
    </row>
    <row r="23" spans="14:20" ht="14.45" customHeight="1" x14ac:dyDescent="0.25">
      <c r="N23" s="5" t="s">
        <v>118</v>
      </c>
      <c r="O23" s="5"/>
      <c r="P23" s="63">
        <f>P22*3.6</f>
        <v>45720000</v>
      </c>
      <c r="Q23" s="5" t="s">
        <v>6</v>
      </c>
      <c r="R23" s="5"/>
      <c r="S23" s="5"/>
    </row>
    <row r="24" spans="14:20" x14ac:dyDescent="0.25">
      <c r="N24" s="5"/>
      <c r="O24" s="5"/>
      <c r="P24" s="5"/>
      <c r="Q24" s="5"/>
      <c r="R24" s="5"/>
      <c r="S24" s="5"/>
    </row>
    <row r="25" spans="14:20" ht="18.75" x14ac:dyDescent="0.3">
      <c r="N25" s="42" t="s">
        <v>102</v>
      </c>
      <c r="O25" s="5"/>
      <c r="P25" s="5"/>
      <c r="Q25" s="5"/>
      <c r="R25" s="5"/>
      <c r="S25" s="5"/>
    </row>
    <row r="26" spans="14:20" x14ac:dyDescent="0.25">
      <c r="N26" s="5"/>
      <c r="O26" s="5"/>
      <c r="P26" s="5"/>
      <c r="Q26" s="5"/>
      <c r="R26" s="5"/>
      <c r="S26" s="5"/>
    </row>
    <row r="27" spans="14:20" x14ac:dyDescent="0.25">
      <c r="N27" s="5" t="s">
        <v>122</v>
      </c>
      <c r="O27" s="112">
        <v>16150</v>
      </c>
      <c r="P27" s="5" t="s">
        <v>3</v>
      </c>
      <c r="Q27" s="5"/>
      <c r="R27" s="5"/>
      <c r="S27" s="5"/>
    </row>
    <row r="28" spans="14:20" x14ac:dyDescent="0.25">
      <c r="N28" t="s">
        <v>126</v>
      </c>
      <c r="O28" s="111">
        <v>7800</v>
      </c>
      <c r="P28" t="s">
        <v>3</v>
      </c>
    </row>
    <row r="29" spans="14:20" x14ac:dyDescent="0.25">
      <c r="N29" s="5" t="s">
        <v>125</v>
      </c>
      <c r="O29">
        <v>122</v>
      </c>
      <c r="P29" t="s">
        <v>3</v>
      </c>
    </row>
  </sheetData>
  <sheetProtection algorithmName="SHA-512" hashValue="Ovczr58CEIoN3af/q41FgvhU5QCVRrCtqpeDbdKnfegSF6uPnXAFk2fzXXOKN3oYRB1UEXACml6hJzjdTh/0Yw==" saltValue="6eZpw5ShMaBqI1sXGP0TSg==" spinCount="100000" sheet="1" objects="1" scenarios="1"/>
  <mergeCells count="1">
    <mergeCell ref="N21:O21"/>
  </mergeCells>
  <phoneticPr fontId="24"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BC9D1-DC89-4B79-B8D7-36F846CAFE9E}">
  <dimension ref="A1:N43"/>
  <sheetViews>
    <sheetView workbookViewId="0">
      <selection activeCell="C1" sqref="C1"/>
    </sheetView>
  </sheetViews>
  <sheetFormatPr defaultColWidth="9.140625" defaultRowHeight="15" x14ac:dyDescent="0.25"/>
  <cols>
    <col min="1" max="1" width="89.140625" style="4" bestFit="1" customWidth="1"/>
    <col min="2" max="2" width="15.42578125" style="4" bestFit="1" customWidth="1"/>
    <col min="3" max="3" width="11.85546875" style="4" customWidth="1"/>
    <col min="4" max="4" width="9.140625" style="4"/>
    <col min="5" max="5" width="13.140625" style="4" customWidth="1"/>
    <col min="6" max="6" width="11.7109375" style="4" customWidth="1"/>
    <col min="7" max="7" width="14.140625" style="4" customWidth="1"/>
    <col min="8" max="8" width="14.5703125" style="4" customWidth="1"/>
    <col min="9" max="9" width="12.85546875" style="4" bestFit="1" customWidth="1"/>
    <col min="10" max="16384" width="9.140625" style="4"/>
  </cols>
  <sheetData>
    <row r="1" spans="1:14" x14ac:dyDescent="0.25">
      <c r="A1" s="1" t="s">
        <v>33</v>
      </c>
      <c r="B1" s="19"/>
      <c r="C1" s="19"/>
      <c r="D1" s="19"/>
      <c r="E1" s="19"/>
    </row>
    <row r="3" spans="1:14" x14ac:dyDescent="0.25">
      <c r="A3" s="18" t="s">
        <v>34</v>
      </c>
      <c r="B3" s="18" t="s">
        <v>1</v>
      </c>
      <c r="C3" s="18" t="s">
        <v>2</v>
      </c>
      <c r="D3" s="5"/>
      <c r="E3" s="5"/>
      <c r="F3" s="18"/>
      <c r="G3" s="5"/>
      <c r="H3" s="5"/>
      <c r="I3" s="5"/>
      <c r="J3" s="5"/>
      <c r="K3" s="5"/>
      <c r="L3" s="5"/>
      <c r="M3" s="5"/>
    </row>
    <row r="4" spans="1:14" x14ac:dyDescent="0.25">
      <c r="A4" s="5" t="s">
        <v>28</v>
      </c>
      <c r="B4" s="120">
        <v>57000</v>
      </c>
      <c r="C4" s="5" t="s">
        <v>3</v>
      </c>
      <c r="D4" s="5"/>
      <c r="E4" s="5"/>
      <c r="F4" s="5"/>
      <c r="G4" s="5"/>
      <c r="H4" s="5"/>
      <c r="I4" s="5"/>
      <c r="J4" s="5"/>
      <c r="K4" s="5"/>
      <c r="L4" s="5"/>
      <c r="M4" s="5"/>
    </row>
    <row r="5" spans="1:14" x14ac:dyDescent="0.25">
      <c r="A5" s="5" t="s">
        <v>30</v>
      </c>
      <c r="B5" s="120">
        <f>B4*B7</f>
        <v>9690</v>
      </c>
      <c r="C5" s="5" t="s">
        <v>3</v>
      </c>
      <c r="D5" s="5"/>
      <c r="E5" s="5"/>
      <c r="F5" s="5"/>
      <c r="G5" s="5"/>
      <c r="H5" s="5"/>
      <c r="I5" s="5"/>
      <c r="J5" s="5"/>
      <c r="K5" s="5"/>
      <c r="L5" s="5"/>
      <c r="M5" s="5"/>
    </row>
    <row r="6" spans="1:14" x14ac:dyDescent="0.25">
      <c r="A6" s="5" t="s">
        <v>38</v>
      </c>
      <c r="B6" s="120">
        <f>I13/B5</f>
        <v>131.06291021671825</v>
      </c>
      <c r="C6" s="5" t="s">
        <v>7</v>
      </c>
      <c r="D6" s="5"/>
      <c r="E6" s="5"/>
      <c r="F6" s="5"/>
      <c r="G6" s="5"/>
      <c r="H6" s="5"/>
      <c r="I6" s="5"/>
      <c r="J6" s="5"/>
      <c r="K6" s="5"/>
      <c r="L6" s="5"/>
      <c r="M6" s="5"/>
    </row>
    <row r="7" spans="1:14" x14ac:dyDescent="0.25">
      <c r="A7" s="5" t="s">
        <v>29</v>
      </c>
      <c r="B7" s="121">
        <v>0.17</v>
      </c>
      <c r="C7" s="18" t="s">
        <v>14</v>
      </c>
      <c r="D7" s="5"/>
      <c r="E7" s="5"/>
      <c r="F7" s="5"/>
      <c r="G7" s="5"/>
      <c r="H7" s="5"/>
      <c r="I7" s="5"/>
      <c r="J7" s="5"/>
      <c r="K7" s="5"/>
      <c r="L7" s="5"/>
      <c r="M7" s="5"/>
    </row>
    <row r="8" spans="1:14" x14ac:dyDescent="0.25">
      <c r="A8" s="21" t="s">
        <v>115</v>
      </c>
      <c r="B8" s="122">
        <v>0.22500000000000001</v>
      </c>
      <c r="C8" s="18" t="s">
        <v>14</v>
      </c>
      <c r="D8" s="5"/>
      <c r="E8" s="5"/>
      <c r="F8" s="5"/>
      <c r="G8" s="5"/>
      <c r="H8" s="5"/>
      <c r="I8" s="5"/>
      <c r="J8" s="5"/>
      <c r="K8" s="5"/>
      <c r="L8" s="5"/>
      <c r="M8" s="5"/>
    </row>
    <row r="9" spans="1:14" x14ac:dyDescent="0.25">
      <c r="A9" s="46" t="s">
        <v>105</v>
      </c>
      <c r="B9" s="120">
        <f>G13</f>
        <v>2116666</v>
      </c>
      <c r="C9" s="5" t="s">
        <v>8</v>
      </c>
      <c r="D9" s="5"/>
      <c r="E9" s="5"/>
      <c r="F9" s="5"/>
      <c r="G9" s="5"/>
      <c r="H9" s="5"/>
      <c r="I9" s="5"/>
      <c r="J9" s="5"/>
      <c r="K9" s="5"/>
      <c r="L9" s="5"/>
      <c r="M9" s="5"/>
    </row>
    <row r="10" spans="1:14" x14ac:dyDescent="0.25">
      <c r="A10" s="5" t="s">
        <v>106</v>
      </c>
      <c r="B10" s="120">
        <f>B9*0.6</f>
        <v>1269999.5999999999</v>
      </c>
      <c r="C10" s="5" t="s">
        <v>8</v>
      </c>
      <c r="D10" s="5"/>
      <c r="E10" s="18"/>
      <c r="F10" s="5"/>
      <c r="G10" s="5"/>
      <c r="H10" s="5"/>
      <c r="I10" s="5"/>
      <c r="J10" s="5"/>
      <c r="K10" s="5"/>
      <c r="L10" s="5"/>
      <c r="M10" s="5"/>
    </row>
    <row r="11" spans="1:14" x14ac:dyDescent="0.25">
      <c r="A11" s="5" t="s">
        <v>152</v>
      </c>
      <c r="B11" s="120">
        <v>10</v>
      </c>
      <c r="C11" s="5" t="s">
        <v>9</v>
      </c>
      <c r="D11" s="5"/>
      <c r="E11" s="5"/>
      <c r="F11" s="5"/>
      <c r="G11" s="5"/>
      <c r="H11" s="5"/>
      <c r="I11" s="5"/>
      <c r="J11" s="5"/>
      <c r="K11" s="5"/>
      <c r="L11" s="5"/>
      <c r="M11" s="5"/>
      <c r="N11" s="5"/>
    </row>
    <row r="12" spans="1:14" x14ac:dyDescent="0.25">
      <c r="A12" s="5" t="s">
        <v>109</v>
      </c>
      <c r="B12" s="120">
        <f>B10*B11</f>
        <v>12699995.999999998</v>
      </c>
      <c r="C12" s="5" t="s">
        <v>10</v>
      </c>
      <c r="D12" s="5"/>
      <c r="E12" s="5"/>
      <c r="F12" s="5"/>
      <c r="G12" s="5"/>
      <c r="H12" s="5"/>
      <c r="I12" s="5"/>
      <c r="J12" s="5"/>
      <c r="K12" s="5"/>
      <c r="L12" s="5"/>
      <c r="M12" s="5"/>
      <c r="N12" s="5"/>
    </row>
    <row r="13" spans="1:14" ht="30" x14ac:dyDescent="0.25">
      <c r="A13" s="46" t="s">
        <v>24</v>
      </c>
      <c r="B13" s="120">
        <f>B12*3.6</f>
        <v>45719985.599999994</v>
      </c>
      <c r="C13" s="5" t="s">
        <v>6</v>
      </c>
      <c r="D13" s="5"/>
      <c r="E13" s="5"/>
      <c r="F13" s="5" t="s">
        <v>25</v>
      </c>
      <c r="G13" s="63">
        <v>2116666</v>
      </c>
      <c r="H13" s="5" t="s">
        <v>26</v>
      </c>
      <c r="I13" s="10">
        <f>G13*0.6</f>
        <v>1269999.5999999999</v>
      </c>
      <c r="J13" s="5" t="s">
        <v>8</v>
      </c>
      <c r="K13" s="5"/>
      <c r="L13" s="5"/>
      <c r="M13" s="5"/>
      <c r="N13" s="5"/>
    </row>
    <row r="14" spans="1:14" x14ac:dyDescent="0.25">
      <c r="A14" s="5"/>
      <c r="B14" s="5"/>
      <c r="C14" s="5"/>
      <c r="D14" s="5"/>
      <c r="E14" s="5"/>
      <c r="F14" s="5"/>
      <c r="G14" s="5"/>
      <c r="H14" s="5"/>
      <c r="I14" s="64"/>
      <c r="J14" s="5"/>
      <c r="K14" s="5"/>
      <c r="L14" s="5"/>
      <c r="M14" s="5"/>
      <c r="N14" s="5"/>
    </row>
    <row r="15" spans="1:14" x14ac:dyDescent="0.25">
      <c r="A15" s="5"/>
      <c r="B15" s="48"/>
      <c r="C15" s="5"/>
      <c r="D15" s="5"/>
      <c r="E15" s="5"/>
      <c r="F15" s="65"/>
      <c r="G15" s="5"/>
      <c r="H15" s="5"/>
      <c r="I15" s="5"/>
      <c r="J15" s="5"/>
      <c r="K15" s="5"/>
      <c r="L15" s="5"/>
      <c r="M15" s="5"/>
      <c r="N15" s="5"/>
    </row>
    <row r="16" spans="1:14" x14ac:dyDescent="0.25">
      <c r="A16" s="5"/>
      <c r="B16" s="5"/>
      <c r="C16" s="5"/>
      <c r="D16" s="5"/>
      <c r="E16" s="5"/>
      <c r="F16" s="66"/>
      <c r="G16" s="5"/>
      <c r="H16" s="5"/>
      <c r="I16" s="5"/>
      <c r="J16" s="5"/>
      <c r="K16" s="5"/>
      <c r="L16" s="5"/>
      <c r="M16" s="5"/>
      <c r="N16" s="5"/>
    </row>
    <row r="17" spans="1:14" x14ac:dyDescent="0.25">
      <c r="A17" s="5"/>
      <c r="B17" s="5"/>
      <c r="C17" s="5"/>
      <c r="D17" s="5"/>
      <c r="E17" s="5"/>
      <c r="F17" s="67"/>
      <c r="G17" s="5"/>
      <c r="H17" s="5"/>
      <c r="I17" s="5"/>
      <c r="J17" s="5"/>
      <c r="K17" s="5"/>
      <c r="L17" s="5"/>
      <c r="M17" s="5"/>
      <c r="N17" s="5"/>
    </row>
    <row r="18" spans="1:14" x14ac:dyDescent="0.25">
      <c r="A18" s="5"/>
      <c r="B18" s="5"/>
      <c r="C18" s="5"/>
      <c r="D18" s="5"/>
      <c r="E18" s="5"/>
      <c r="F18" s="5"/>
      <c r="G18" s="18"/>
      <c r="H18" s="5"/>
      <c r="I18" s="5"/>
      <c r="J18" s="5"/>
      <c r="K18" s="5"/>
      <c r="L18" s="5"/>
      <c r="M18" s="5"/>
      <c r="N18" s="5"/>
    </row>
    <row r="19" spans="1:14" x14ac:dyDescent="0.25">
      <c r="A19" s="5"/>
      <c r="B19" s="5"/>
      <c r="C19" s="5"/>
      <c r="D19" s="5"/>
      <c r="E19" s="5"/>
      <c r="F19" s="5"/>
      <c r="G19" s="18"/>
      <c r="H19" s="5"/>
      <c r="I19" s="5"/>
      <c r="J19" s="5"/>
      <c r="K19" s="5"/>
      <c r="L19" s="5"/>
      <c r="M19" s="5"/>
      <c r="N19" s="5"/>
    </row>
    <row r="20" spans="1:14" x14ac:dyDescent="0.25">
      <c r="A20" s="18" t="s">
        <v>40</v>
      </c>
      <c r="B20" s="5"/>
      <c r="C20" s="5"/>
      <c r="D20" s="5"/>
      <c r="E20" s="5"/>
      <c r="F20" s="5"/>
      <c r="G20" s="5"/>
      <c r="H20" s="5"/>
      <c r="I20" s="5"/>
      <c r="J20" s="5"/>
      <c r="K20" s="5"/>
      <c r="L20" s="5"/>
      <c r="M20" s="5"/>
      <c r="N20" s="5"/>
    </row>
    <row r="21" spans="1:14" x14ac:dyDescent="0.25">
      <c r="A21" s="5" t="s">
        <v>108</v>
      </c>
      <c r="B21" s="5">
        <v>100</v>
      </c>
      <c r="C21" s="5" t="s">
        <v>14</v>
      </c>
      <c r="D21" s="5"/>
      <c r="E21" s="65">
        <f>B9</f>
        <v>2116666</v>
      </c>
      <c r="F21" s="5" t="s">
        <v>8</v>
      </c>
      <c r="G21" s="5" t="s">
        <v>41</v>
      </c>
      <c r="H21" s="39">
        <f>(E21*B22)-(B29)</f>
        <v>8390996.2800000012</v>
      </c>
      <c r="I21" s="5" t="s">
        <v>11</v>
      </c>
      <c r="J21" s="5"/>
      <c r="K21" s="5"/>
      <c r="L21" s="5"/>
      <c r="M21" s="5"/>
      <c r="N21" s="5"/>
    </row>
    <row r="22" spans="1:14" x14ac:dyDescent="0.25">
      <c r="A22" s="5" t="s">
        <v>107</v>
      </c>
      <c r="B22" s="5">
        <v>6</v>
      </c>
      <c r="C22" s="5" t="s">
        <v>9</v>
      </c>
      <c r="D22" s="5"/>
      <c r="E22" s="5"/>
      <c r="F22" s="5"/>
      <c r="G22" s="5"/>
      <c r="H22" s="40">
        <f>H21*3.6</f>
        <v>30207586.608000007</v>
      </c>
      <c r="I22" s="5" t="s">
        <v>12</v>
      </c>
      <c r="J22" s="5"/>
      <c r="K22" s="5"/>
      <c r="L22" s="5"/>
      <c r="M22" s="5"/>
      <c r="N22" s="5"/>
    </row>
    <row r="23" spans="1:14" x14ac:dyDescent="0.25">
      <c r="A23" s="5"/>
      <c r="B23" s="44"/>
      <c r="C23" s="5"/>
      <c r="D23" s="5"/>
      <c r="E23" s="65"/>
      <c r="F23" s="5"/>
      <c r="G23" s="5"/>
      <c r="H23" s="40"/>
      <c r="I23" s="5"/>
      <c r="J23" s="5"/>
      <c r="K23" s="5"/>
      <c r="L23" s="5"/>
      <c r="M23" s="5"/>
      <c r="N23" s="5"/>
    </row>
    <row r="24" spans="1:14" x14ac:dyDescent="0.25">
      <c r="A24" s="18"/>
      <c r="B24" s="65"/>
      <c r="C24" s="5"/>
      <c r="D24" s="5"/>
      <c r="E24" s="5"/>
      <c r="F24" s="5"/>
      <c r="G24" s="5"/>
      <c r="H24" s="5"/>
      <c r="I24" s="5"/>
      <c r="J24" s="5"/>
      <c r="K24" s="5"/>
      <c r="L24" s="5"/>
      <c r="M24" s="5"/>
      <c r="N24" s="5"/>
    </row>
    <row r="25" spans="1:14" x14ac:dyDescent="0.25">
      <c r="A25" s="5"/>
      <c r="B25" s="5"/>
      <c r="C25" s="5"/>
      <c r="D25" s="5"/>
      <c r="E25" s="5"/>
      <c r="F25" s="5"/>
      <c r="G25" s="5"/>
      <c r="H25" s="5"/>
      <c r="I25" s="5"/>
      <c r="J25" s="5"/>
      <c r="K25" s="5"/>
      <c r="L25" s="5"/>
      <c r="M25" s="5"/>
      <c r="N25" s="5"/>
    </row>
    <row r="26" spans="1:14" x14ac:dyDescent="0.25">
      <c r="A26" s="60" t="s">
        <v>127</v>
      </c>
      <c r="B26" s="60"/>
      <c r="C26" s="60"/>
      <c r="D26" s="58"/>
      <c r="E26" s="58"/>
      <c r="F26" s="58"/>
      <c r="G26" s="5"/>
      <c r="H26" s="5"/>
      <c r="I26" s="5"/>
      <c r="J26" s="5"/>
      <c r="K26" s="5"/>
      <c r="L26" s="5"/>
      <c r="M26" s="5"/>
      <c r="N26" s="5"/>
    </row>
    <row r="27" spans="1:14" x14ac:dyDescent="0.25">
      <c r="A27" s="60" t="s">
        <v>36</v>
      </c>
      <c r="B27" s="68">
        <f>0.07*B12</f>
        <v>888999.72</v>
      </c>
      <c r="C27" s="58" t="s">
        <v>11</v>
      </c>
      <c r="D27" s="58"/>
      <c r="E27" s="61">
        <v>7.0000000000000007E-2</v>
      </c>
      <c r="F27" s="58"/>
      <c r="G27" s="18"/>
      <c r="H27" s="18" t="s">
        <v>139</v>
      </c>
      <c r="I27" s="5"/>
      <c r="J27" s="5"/>
      <c r="K27" s="5"/>
      <c r="L27" s="5"/>
      <c r="M27" s="5"/>
      <c r="N27" s="5"/>
    </row>
    <row r="28" spans="1:14" x14ac:dyDescent="0.25">
      <c r="A28" s="60" t="s">
        <v>37</v>
      </c>
      <c r="B28" s="69">
        <f>57000*60</f>
        <v>3420000</v>
      </c>
      <c r="C28" s="45" t="s">
        <v>11</v>
      </c>
      <c r="D28" s="58"/>
      <c r="E28" s="117" t="s">
        <v>140</v>
      </c>
      <c r="F28" s="58"/>
      <c r="G28" s="18"/>
      <c r="H28" s="18" t="s">
        <v>138</v>
      </c>
      <c r="I28" s="5"/>
      <c r="J28" s="5"/>
      <c r="K28" s="5"/>
      <c r="L28" s="5"/>
      <c r="M28" s="5"/>
      <c r="N28" s="5"/>
    </row>
    <row r="29" spans="1:14" x14ac:dyDescent="0.25">
      <c r="A29" s="58"/>
      <c r="B29" s="68">
        <f>SUM(B27:B28)</f>
        <v>4308999.72</v>
      </c>
      <c r="C29" s="58" t="s">
        <v>11</v>
      </c>
      <c r="D29" s="58"/>
      <c r="E29" s="58"/>
      <c r="F29" s="58"/>
      <c r="G29" s="18"/>
      <c r="H29" s="18" t="s">
        <v>93</v>
      </c>
      <c r="I29" s="5"/>
      <c r="J29" s="5"/>
      <c r="K29" s="5"/>
      <c r="L29" s="5"/>
      <c r="M29" s="5"/>
      <c r="N29" s="5"/>
    </row>
    <row r="30" spans="1:14" x14ac:dyDescent="0.25">
      <c r="B30" s="58"/>
      <c r="C30" s="58"/>
      <c r="D30" s="58"/>
      <c r="E30" s="58"/>
      <c r="F30" s="58"/>
      <c r="G30" s="64"/>
      <c r="H30" s="64" t="s">
        <v>94</v>
      </c>
      <c r="I30" s="5"/>
      <c r="J30" s="5"/>
      <c r="K30" s="5"/>
      <c r="L30" s="5"/>
      <c r="M30" s="5"/>
      <c r="N30" s="5"/>
    </row>
    <row r="31" spans="1:14" x14ac:dyDescent="0.25">
      <c r="A31" s="55"/>
      <c r="B31" s="57"/>
      <c r="C31" s="55"/>
      <c r="D31" s="55"/>
      <c r="E31" s="71"/>
      <c r="F31" s="56"/>
      <c r="G31" s="56"/>
    </row>
    <row r="32" spans="1:14" x14ac:dyDescent="0.25">
      <c r="A32" s="55"/>
      <c r="B32" s="57"/>
      <c r="C32" s="55"/>
      <c r="D32" s="55"/>
      <c r="E32" s="55"/>
      <c r="F32" s="58"/>
      <c r="G32" s="72"/>
      <c r="H32" s="21"/>
    </row>
    <row r="33" spans="1:7" x14ac:dyDescent="0.25">
      <c r="A33" s="21"/>
      <c r="C33" s="55"/>
      <c r="D33" s="55"/>
      <c r="E33" s="55"/>
      <c r="F33" s="56"/>
      <c r="G33" s="58"/>
    </row>
    <row r="34" spans="1:7" x14ac:dyDescent="0.25">
      <c r="A34" s="73"/>
      <c r="B34" s="73"/>
      <c r="C34" s="73"/>
      <c r="D34" s="73"/>
      <c r="E34" s="73"/>
      <c r="F34" s="56"/>
      <c r="G34" s="56"/>
    </row>
    <row r="35" spans="1:7" x14ac:dyDescent="0.25">
      <c r="A35" s="56"/>
      <c r="B35" s="57"/>
      <c r="C35" s="72"/>
      <c r="D35" s="73"/>
      <c r="E35" s="73"/>
      <c r="F35" s="56"/>
      <c r="G35" s="56"/>
    </row>
    <row r="36" spans="1:7" x14ac:dyDescent="0.25">
      <c r="A36" s="56"/>
      <c r="B36" s="56"/>
      <c r="C36" s="56"/>
      <c r="D36" s="56"/>
      <c r="E36" s="58"/>
      <c r="F36" s="56"/>
      <c r="G36" s="56"/>
    </row>
    <row r="37" spans="1:7" x14ac:dyDescent="0.25">
      <c r="A37" s="55"/>
      <c r="B37" s="55"/>
      <c r="C37" s="55"/>
      <c r="D37" s="55"/>
      <c r="E37" s="56"/>
      <c r="F37" s="56"/>
      <c r="G37" s="56"/>
    </row>
    <row r="38" spans="1:7" x14ac:dyDescent="0.25">
      <c r="A38" s="55"/>
      <c r="B38" s="59"/>
      <c r="C38" s="55"/>
      <c r="D38" s="55"/>
      <c r="E38" s="72"/>
      <c r="F38" s="58"/>
      <c r="G38" s="56"/>
    </row>
    <row r="39" spans="1:7" x14ac:dyDescent="0.25">
      <c r="A39" s="55"/>
      <c r="B39" s="59"/>
      <c r="C39" s="55"/>
      <c r="D39" s="55"/>
      <c r="E39" s="56"/>
      <c r="F39" s="56"/>
      <c r="G39" s="58"/>
    </row>
    <row r="40" spans="1:7" x14ac:dyDescent="0.25">
      <c r="A40" s="55"/>
      <c r="B40" s="59"/>
      <c r="C40" s="55"/>
      <c r="D40" s="55"/>
      <c r="E40" s="56"/>
      <c r="F40" s="56"/>
      <c r="G40" s="56"/>
    </row>
    <row r="41" spans="1:7" x14ac:dyDescent="0.25">
      <c r="A41" s="72"/>
      <c r="B41" s="59"/>
      <c r="C41" s="55"/>
      <c r="D41" s="55"/>
      <c r="E41" s="56"/>
      <c r="F41" s="56"/>
      <c r="G41" s="56"/>
    </row>
    <row r="42" spans="1:7" x14ac:dyDescent="0.25">
      <c r="A42" s="72"/>
      <c r="B42" s="59"/>
      <c r="C42" s="55"/>
      <c r="D42" s="55"/>
      <c r="E42" s="56"/>
      <c r="F42" s="56"/>
      <c r="G42" s="56"/>
    </row>
    <row r="43" spans="1:7" x14ac:dyDescent="0.25">
      <c r="A43" s="55"/>
      <c r="B43" s="59"/>
      <c r="C43" s="55"/>
      <c r="D43" s="55"/>
      <c r="E43" s="56"/>
      <c r="F43" s="56"/>
      <c r="G43" s="56"/>
    </row>
  </sheetData>
  <sheetProtection algorithmName="SHA-512" hashValue="/CbqGenrybJ97hHqf2KZpgcuvOls2TwFAlFXEYIQmBJtwVsmAoLKKv6K9WQNRS+ngU/p0bRQzY4QzIi/KDOlgg==" saltValue="7MUIdDn01YjceMk6Kj1Ssg==" spinCount="100000" sheet="1" objects="1" scenarios="1"/>
  <hyperlinks>
    <hyperlink ref="H30" r:id="rId1" xr:uid="{8AF9EC49-D839-4D98-B501-45963B9486B7}"/>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76843-9FCE-4298-A8FF-0027BE2048E5}">
  <dimension ref="A1:BO49"/>
  <sheetViews>
    <sheetView tabSelected="1" zoomScaleNormal="100" workbookViewId="0">
      <pane xSplit="1" topLeftCell="B1" activePane="topRight" state="frozen"/>
      <selection activeCell="A13" sqref="A13"/>
      <selection pane="topRight" activeCell="F1" sqref="F1"/>
    </sheetView>
  </sheetViews>
  <sheetFormatPr defaultRowHeight="15" x14ac:dyDescent="0.25"/>
  <cols>
    <col min="1" max="1" width="66.5703125" customWidth="1"/>
    <col min="2" max="2" width="23.28515625" customWidth="1"/>
    <col min="4" max="4" width="15.28515625" bestFit="1" customWidth="1"/>
    <col min="5" max="5" width="13.7109375" bestFit="1" customWidth="1"/>
    <col min="6" max="6" width="14.42578125" customWidth="1"/>
    <col min="7" max="7" width="14.85546875" customWidth="1"/>
    <col min="8" max="8" width="15.7109375" customWidth="1"/>
    <col min="9" max="9" width="15.28515625" customWidth="1"/>
    <col min="10" max="10" width="14.42578125" bestFit="1" customWidth="1"/>
    <col min="11" max="11" width="11.28515625" customWidth="1"/>
    <col min="12" max="12" width="16.28515625" customWidth="1"/>
    <col min="13" max="13" width="16" customWidth="1"/>
    <col min="14" max="14" width="8.140625" customWidth="1"/>
    <col min="15" max="15" width="14.42578125" bestFit="1" customWidth="1"/>
    <col min="19" max="19" width="11.7109375" bestFit="1" customWidth="1"/>
    <col min="23" max="23" width="12.42578125" customWidth="1"/>
    <col min="26" max="26" width="12.28515625" customWidth="1"/>
    <col min="28" max="28" width="10.42578125" customWidth="1"/>
    <col min="31" max="31" width="10.42578125" customWidth="1"/>
    <col min="34" max="34" width="10.140625" customWidth="1"/>
    <col min="39" max="39" width="13.85546875" customWidth="1"/>
    <col min="41" max="41" width="14.28515625" customWidth="1"/>
    <col min="42" max="42" width="10.7109375" customWidth="1"/>
    <col min="43" max="43" width="24" customWidth="1"/>
    <col min="44" max="44" width="11.5703125" customWidth="1"/>
    <col min="46" max="46" width="24" customWidth="1"/>
    <col min="47" max="47" width="13.85546875" customWidth="1"/>
    <col min="48" max="48" width="24.42578125" customWidth="1"/>
    <col min="49" max="49" width="10.28515625" customWidth="1"/>
    <col min="55" max="55" width="13.28515625" customWidth="1"/>
    <col min="58" max="58" width="13.28515625" customWidth="1"/>
    <col min="60" max="60" width="12" customWidth="1"/>
    <col min="63" max="63" width="12.140625" customWidth="1"/>
    <col min="64" max="64" width="10.28515625" customWidth="1"/>
    <col min="65" max="65" width="11.7109375" customWidth="1"/>
  </cols>
  <sheetData>
    <row r="1" spans="1:67" x14ac:dyDescent="0.25">
      <c r="A1" s="1" t="s">
        <v>18</v>
      </c>
      <c r="E1" s="19"/>
      <c r="F1" s="19"/>
      <c r="G1" s="19"/>
      <c r="H1" s="19"/>
    </row>
    <row r="2" spans="1:67" x14ac:dyDescent="0.25">
      <c r="B2" s="1" t="s">
        <v>1</v>
      </c>
      <c r="C2" s="1" t="s">
        <v>2</v>
      </c>
    </row>
    <row r="3" spans="1:67" ht="15.75" x14ac:dyDescent="0.25">
      <c r="A3" s="74" t="s">
        <v>128</v>
      </c>
    </row>
    <row r="4" spans="1:67" x14ac:dyDescent="0.25">
      <c r="A4" t="s">
        <v>19</v>
      </c>
      <c r="B4" s="52">
        <v>0</v>
      </c>
      <c r="C4" t="s">
        <v>13</v>
      </c>
    </row>
    <row r="5" spans="1:67" x14ac:dyDescent="0.25">
      <c r="B5" s="52"/>
    </row>
    <row r="6" spans="1:67" ht="15.75" x14ac:dyDescent="0.25">
      <c r="A6" s="74" t="s">
        <v>129</v>
      </c>
      <c r="B6" s="5"/>
      <c r="C6" s="5"/>
      <c r="D6" s="5"/>
      <c r="E6" s="5"/>
      <c r="F6" s="5"/>
      <c r="G6" s="5"/>
      <c r="H6" s="5"/>
      <c r="I6" s="5"/>
      <c r="J6" s="5"/>
      <c r="K6" s="5"/>
      <c r="L6" s="5"/>
      <c r="M6" s="5"/>
      <c r="N6" s="5"/>
      <c r="O6" s="5"/>
      <c r="P6" s="5"/>
      <c r="Q6" s="5"/>
      <c r="R6" s="5"/>
      <c r="S6" s="5"/>
      <c r="T6" s="5"/>
      <c r="U6" s="5"/>
    </row>
    <row r="7" spans="1:67" ht="15.75" x14ac:dyDescent="0.25">
      <c r="A7" s="75" t="s">
        <v>131</v>
      </c>
      <c r="B7" s="10">
        <v>22800</v>
      </c>
      <c r="C7" t="s">
        <v>11</v>
      </c>
      <c r="D7" s="5"/>
      <c r="E7" s="5"/>
      <c r="F7" s="5"/>
      <c r="G7" s="5"/>
      <c r="H7" s="5"/>
      <c r="I7" s="5"/>
      <c r="J7" s="5"/>
      <c r="K7" s="5"/>
      <c r="L7" s="5"/>
      <c r="M7" s="5"/>
      <c r="N7" s="5"/>
      <c r="O7" s="5"/>
      <c r="P7" s="5"/>
      <c r="Q7" s="5"/>
      <c r="R7" s="5"/>
      <c r="S7" s="5"/>
      <c r="T7" s="5"/>
      <c r="U7" s="5"/>
    </row>
    <row r="8" spans="1:67" x14ac:dyDescent="0.25">
      <c r="A8" s="5" t="s">
        <v>95</v>
      </c>
      <c r="B8" s="7">
        <v>128.5</v>
      </c>
      <c r="C8" t="s">
        <v>22</v>
      </c>
      <c r="D8" s="5"/>
      <c r="E8" s="5"/>
      <c r="F8" s="5"/>
      <c r="G8" s="5"/>
      <c r="H8" s="5"/>
      <c r="I8" s="5"/>
      <c r="J8" s="5"/>
      <c r="K8" s="5"/>
      <c r="L8" s="5"/>
      <c r="M8" s="5"/>
      <c r="N8" s="5"/>
      <c r="O8" s="5"/>
      <c r="P8" s="5"/>
      <c r="Q8" s="5"/>
      <c r="R8" s="5"/>
      <c r="S8" s="5"/>
      <c r="T8" s="5"/>
      <c r="U8" s="5"/>
    </row>
    <row r="9" spans="1:67" x14ac:dyDescent="0.25">
      <c r="A9" s="5" t="s">
        <v>130</v>
      </c>
      <c r="B9" s="10">
        <f>B7*B8</f>
        <v>2929800</v>
      </c>
      <c r="C9" s="5" t="s">
        <v>13</v>
      </c>
      <c r="D9" s="5"/>
      <c r="E9" s="5"/>
      <c r="F9" s="10"/>
      <c r="G9" s="5"/>
      <c r="H9" s="5"/>
      <c r="I9" s="5"/>
      <c r="J9" s="10"/>
      <c r="K9" s="5"/>
      <c r="L9" s="10"/>
      <c r="M9" s="5"/>
      <c r="N9" s="5"/>
      <c r="O9" s="10"/>
      <c r="P9" s="5"/>
      <c r="Q9" s="5"/>
      <c r="R9" s="5"/>
      <c r="S9" s="10"/>
      <c r="T9" s="5"/>
      <c r="U9" s="5"/>
      <c r="V9" s="95"/>
      <c r="W9" s="96"/>
      <c r="X9" s="95"/>
      <c r="Y9" s="95"/>
      <c r="Z9" s="96"/>
      <c r="AA9" s="95"/>
      <c r="AB9" s="96"/>
      <c r="AC9" s="95"/>
      <c r="AD9" s="95"/>
      <c r="AE9" s="96"/>
      <c r="AF9" s="95"/>
      <c r="AG9" s="95"/>
      <c r="AH9" s="96"/>
      <c r="AI9" s="95"/>
      <c r="AJ9" s="95"/>
      <c r="AK9" s="95"/>
      <c r="AL9" s="55"/>
      <c r="AM9" s="96"/>
      <c r="AN9" s="95"/>
      <c r="AO9" s="95"/>
      <c r="AP9" s="96"/>
      <c r="AQ9" s="95"/>
      <c r="AR9" s="96"/>
      <c r="AS9" s="95"/>
      <c r="AT9" s="95"/>
      <c r="AU9" s="96"/>
      <c r="AV9" s="95"/>
      <c r="AW9" s="96"/>
      <c r="AX9" s="95"/>
      <c r="AY9" s="95"/>
      <c r="AZ9" s="95"/>
      <c r="BA9" s="95"/>
      <c r="BB9" s="95"/>
      <c r="BC9" s="96"/>
      <c r="BD9" s="95"/>
      <c r="BE9" s="95"/>
      <c r="BF9" s="96"/>
      <c r="BG9" s="95"/>
      <c r="BH9" s="96"/>
      <c r="BI9" s="95"/>
      <c r="BJ9" s="95"/>
      <c r="BK9" s="96"/>
      <c r="BL9" s="95"/>
      <c r="BM9" s="96"/>
      <c r="BN9" s="95"/>
      <c r="BO9" s="95"/>
    </row>
    <row r="10" spans="1:67" x14ac:dyDescent="0.25">
      <c r="S10" s="51"/>
      <c r="T10" s="51"/>
      <c r="U10" s="51"/>
      <c r="V10" s="95"/>
      <c r="W10" s="95"/>
      <c r="X10" s="51"/>
      <c r="Y10" s="51"/>
      <c r="Z10" s="51"/>
      <c r="AA10" s="51"/>
      <c r="AB10" s="51"/>
      <c r="AC10" s="51"/>
      <c r="AD10" s="51"/>
      <c r="AE10" s="51"/>
      <c r="AF10" s="51"/>
      <c r="AG10" s="51"/>
      <c r="AH10" s="51"/>
      <c r="AI10" s="51"/>
      <c r="AJ10" s="51"/>
      <c r="AK10" s="51"/>
    </row>
    <row r="11" spans="1:67" ht="15.75" x14ac:dyDescent="0.25">
      <c r="A11" s="9" t="s">
        <v>15</v>
      </c>
      <c r="B11" s="73"/>
      <c r="G11" s="73"/>
      <c r="J11" s="73"/>
      <c r="K11" s="73"/>
      <c r="L11" s="73"/>
      <c r="M11" s="73"/>
      <c r="N11" s="73"/>
      <c r="O11" s="73"/>
      <c r="R11" s="21"/>
      <c r="S11" s="50"/>
      <c r="T11" s="50"/>
      <c r="U11" s="50"/>
      <c r="V11" s="50"/>
      <c r="X11" s="50"/>
      <c r="Y11" s="50"/>
      <c r="Z11" s="50"/>
      <c r="AA11" s="50"/>
      <c r="AB11" s="50"/>
      <c r="AC11" s="51"/>
      <c r="AD11" s="51"/>
      <c r="AE11" s="51"/>
      <c r="AF11" s="51"/>
      <c r="AG11" s="51"/>
      <c r="AH11" s="51"/>
      <c r="AI11" s="51"/>
      <c r="AJ11" s="51"/>
      <c r="AK11" s="51"/>
    </row>
    <row r="12" spans="1:67" x14ac:dyDescent="0.25">
      <c r="A12" t="s">
        <v>27</v>
      </c>
      <c r="B12" s="10">
        <v>57000</v>
      </c>
      <c r="C12" t="s">
        <v>3</v>
      </c>
      <c r="G12" s="10"/>
      <c r="J12" s="10"/>
      <c r="L12" s="10"/>
      <c r="O12" s="10"/>
      <c r="R12" s="21"/>
      <c r="S12" s="50"/>
      <c r="T12" s="50"/>
      <c r="U12" s="50"/>
      <c r="V12" s="50"/>
      <c r="W12" s="50"/>
      <c r="X12" s="50"/>
      <c r="Y12" s="50"/>
      <c r="Z12" s="50"/>
      <c r="AA12" s="50"/>
      <c r="AB12" s="50"/>
      <c r="AC12" s="51"/>
      <c r="AD12" s="51"/>
      <c r="AE12" s="51"/>
      <c r="AF12" s="51"/>
      <c r="AG12" s="51"/>
      <c r="AH12" s="51"/>
      <c r="AI12" s="51"/>
      <c r="AJ12" s="51"/>
      <c r="AK12" s="51"/>
    </row>
    <row r="13" spans="1:67" x14ac:dyDescent="0.25">
      <c r="A13" t="s">
        <v>0</v>
      </c>
      <c r="B13" s="7">
        <v>888999.72</v>
      </c>
      <c r="C13" t="s">
        <v>11</v>
      </c>
      <c r="G13" s="7"/>
      <c r="J13" s="7"/>
      <c r="L13" s="7"/>
      <c r="N13" s="7"/>
      <c r="O13" s="7"/>
      <c r="S13" s="51"/>
      <c r="T13" s="51"/>
      <c r="U13" s="51"/>
      <c r="V13" s="51"/>
      <c r="W13" s="62"/>
      <c r="X13" s="51"/>
      <c r="Y13" s="51"/>
      <c r="Z13" s="51"/>
      <c r="AA13" s="51"/>
      <c r="AB13" s="51"/>
      <c r="AC13" s="51"/>
      <c r="AD13" s="51"/>
      <c r="AE13" s="51"/>
      <c r="AF13" s="51"/>
      <c r="AG13" s="51"/>
      <c r="AH13" s="51"/>
      <c r="AI13" s="51"/>
      <c r="AJ13" s="51"/>
      <c r="AK13" s="51"/>
    </row>
    <row r="14" spans="1:67" x14ac:dyDescent="0.25">
      <c r="A14" s="5" t="s">
        <v>95</v>
      </c>
      <c r="B14" s="7">
        <v>128.5</v>
      </c>
      <c r="C14" t="s">
        <v>22</v>
      </c>
      <c r="G14" s="7"/>
      <c r="J14" s="7"/>
      <c r="L14" s="7"/>
      <c r="O14" s="7"/>
    </row>
    <row r="15" spans="1:67" x14ac:dyDescent="0.25">
      <c r="A15" s="5" t="s">
        <v>132</v>
      </c>
      <c r="B15" s="7">
        <f>B13*B14</f>
        <v>114236464.02</v>
      </c>
      <c r="C15" t="s">
        <v>13</v>
      </c>
      <c r="G15" s="7"/>
      <c r="J15" s="7"/>
      <c r="L15" s="7"/>
      <c r="O15" s="7"/>
    </row>
    <row r="16" spans="1:67" x14ac:dyDescent="0.25">
      <c r="A16" s="5" t="s">
        <v>90</v>
      </c>
      <c r="B16" s="7">
        <f>B33</f>
        <v>3420000</v>
      </c>
      <c r="C16" t="s">
        <v>11</v>
      </c>
      <c r="G16" s="7"/>
      <c r="J16" s="7"/>
      <c r="L16" s="7"/>
      <c r="O16" s="7"/>
    </row>
    <row r="17" spans="1:27" x14ac:dyDescent="0.25">
      <c r="A17" s="5" t="s">
        <v>91</v>
      </c>
      <c r="B17" s="7">
        <f>B16*3.6</f>
        <v>12312000</v>
      </c>
      <c r="C17" t="s">
        <v>12</v>
      </c>
      <c r="G17" s="7"/>
      <c r="J17" s="7"/>
      <c r="L17" s="7"/>
      <c r="O17" s="7"/>
    </row>
    <row r="18" spans="1:27" x14ac:dyDescent="0.25">
      <c r="A18" s="5" t="s">
        <v>96</v>
      </c>
      <c r="B18" s="43">
        <v>54.6</v>
      </c>
      <c r="C18" t="s">
        <v>21</v>
      </c>
      <c r="G18" s="43"/>
      <c r="J18" s="43"/>
      <c r="L18" s="43"/>
      <c r="O18" s="43"/>
    </row>
    <row r="19" spans="1:27" x14ac:dyDescent="0.25">
      <c r="A19" t="s">
        <v>133</v>
      </c>
      <c r="B19" s="7">
        <f>B17*B18</f>
        <v>672235200</v>
      </c>
      <c r="C19" t="s">
        <v>13</v>
      </c>
      <c r="G19" s="7"/>
      <c r="J19" s="7"/>
      <c r="L19" s="7"/>
      <c r="O19" s="7"/>
    </row>
    <row r="20" spans="1:27" x14ac:dyDescent="0.25">
      <c r="A20" t="s">
        <v>20</v>
      </c>
      <c r="B20" s="7">
        <f>B15+B19</f>
        <v>786471664.01999998</v>
      </c>
      <c r="C20" t="s">
        <v>17</v>
      </c>
      <c r="G20" s="7"/>
      <c r="J20" s="7"/>
      <c r="L20" s="7"/>
      <c r="O20" s="7"/>
    </row>
    <row r="21" spans="1:27" x14ac:dyDescent="0.25">
      <c r="B21" s="7"/>
    </row>
    <row r="22" spans="1:27" ht="18.75" x14ac:dyDescent="0.3">
      <c r="A22" s="34"/>
      <c r="B22" s="33"/>
      <c r="G22" s="95"/>
      <c r="H22" s="95"/>
      <c r="I22" s="95"/>
      <c r="J22" s="95"/>
    </row>
    <row r="23" spans="1:27" ht="18.75" x14ac:dyDescent="0.3">
      <c r="A23" s="42" t="s">
        <v>85</v>
      </c>
      <c r="B23" s="53">
        <f>B37</f>
        <v>24963112.137599997</v>
      </c>
      <c r="C23" s="75" t="s">
        <v>17</v>
      </c>
      <c r="D23" s="5"/>
      <c r="G23" s="95"/>
      <c r="H23" s="95"/>
      <c r="I23" s="95"/>
      <c r="J23" s="95"/>
    </row>
    <row r="24" spans="1:27" ht="18.75" x14ac:dyDescent="0.3">
      <c r="A24" s="42" t="s">
        <v>31</v>
      </c>
      <c r="B24" s="53">
        <f>B4+B9</f>
        <v>2929800</v>
      </c>
      <c r="C24" s="75" t="s">
        <v>17</v>
      </c>
      <c r="D24" s="5"/>
      <c r="G24" s="97"/>
      <c r="H24" s="97"/>
      <c r="I24" s="97"/>
      <c r="J24" s="95"/>
      <c r="M24" s="7"/>
    </row>
    <row r="25" spans="1:27" ht="18.75" x14ac:dyDescent="0.3">
      <c r="A25" s="76" t="s">
        <v>32</v>
      </c>
      <c r="B25" s="77">
        <f>B20+B48</f>
        <v>995907298.05599999</v>
      </c>
      <c r="C25" s="75" t="s">
        <v>17</v>
      </c>
      <c r="D25" s="5"/>
      <c r="G25" s="95"/>
      <c r="H25" s="95"/>
      <c r="I25" s="95"/>
      <c r="J25" s="95"/>
      <c r="K25" s="47"/>
    </row>
    <row r="26" spans="1:27" ht="18.75" x14ac:dyDescent="0.3">
      <c r="A26" s="78" t="s">
        <v>35</v>
      </c>
      <c r="B26" s="79">
        <f>SUM(B23:B25)</f>
        <v>1023800210.1935999</v>
      </c>
      <c r="C26" s="80" t="s">
        <v>17</v>
      </c>
      <c r="D26" s="45"/>
      <c r="G26" s="97"/>
      <c r="H26" s="98"/>
      <c r="I26" s="97"/>
      <c r="J26" s="95"/>
    </row>
    <row r="27" spans="1:27" ht="15.75" x14ac:dyDescent="0.25">
      <c r="A27" s="81"/>
      <c r="B27" s="54"/>
      <c r="C27" s="82"/>
      <c r="D27" s="82"/>
      <c r="G27" s="97"/>
      <c r="H27" s="97"/>
      <c r="I27" s="97"/>
      <c r="J27" s="95"/>
    </row>
    <row r="28" spans="1:27" ht="18.75" x14ac:dyDescent="0.3">
      <c r="A28" s="83" t="s">
        <v>47</v>
      </c>
      <c r="B28" s="114">
        <f>B26/Kaasuntuotto!B13</f>
        <v>22.392837547035448</v>
      </c>
      <c r="C28" s="42" t="s">
        <v>4</v>
      </c>
      <c r="D28" s="5"/>
      <c r="M28" s="73"/>
      <c r="N28" s="73"/>
      <c r="O28" s="73"/>
      <c r="P28" s="73"/>
      <c r="Q28" s="73"/>
      <c r="R28" s="73"/>
      <c r="S28" s="73"/>
      <c r="T28" s="73"/>
      <c r="U28" s="73"/>
      <c r="V28" s="73"/>
      <c r="W28" s="73"/>
      <c r="X28" s="73"/>
      <c r="Y28" s="73"/>
      <c r="Z28" s="73"/>
      <c r="AA28" s="73"/>
    </row>
    <row r="29" spans="1:27" x14ac:dyDescent="0.25">
      <c r="M29" s="103"/>
      <c r="N29" s="103"/>
      <c r="O29" s="103"/>
      <c r="P29" s="103"/>
      <c r="Q29" s="103"/>
      <c r="R29" s="103"/>
      <c r="S29" s="103"/>
      <c r="T29" s="103"/>
      <c r="U29" s="103"/>
      <c r="V29" s="103"/>
      <c r="W29" s="103"/>
      <c r="X29" s="103"/>
      <c r="Y29" s="103"/>
      <c r="Z29" s="103"/>
      <c r="AA29" s="103"/>
    </row>
    <row r="30" spans="1:27" x14ac:dyDescent="0.25">
      <c r="M30" s="103"/>
      <c r="N30" s="103"/>
      <c r="O30" s="103"/>
      <c r="P30" s="103"/>
      <c r="Q30" s="103"/>
      <c r="R30" s="103"/>
      <c r="S30" s="103"/>
      <c r="T30" s="103"/>
      <c r="U30" s="104"/>
      <c r="V30" s="103"/>
      <c r="W30" s="103"/>
      <c r="X30" s="103"/>
      <c r="Y30" s="103"/>
      <c r="Z30" s="103"/>
      <c r="AA30" s="103"/>
    </row>
    <row r="31" spans="1:27" x14ac:dyDescent="0.25">
      <c r="A31" s="60" t="s">
        <v>88</v>
      </c>
      <c r="B31" s="60"/>
      <c r="C31" s="60"/>
      <c r="D31" s="58"/>
      <c r="E31" s="58"/>
      <c r="F31" s="5"/>
      <c r="G31" s="5" t="s">
        <v>113</v>
      </c>
      <c r="H31" s="5"/>
      <c r="I31" s="5"/>
      <c r="J31" s="5"/>
      <c r="M31" s="103"/>
      <c r="N31" s="103"/>
      <c r="O31" s="103"/>
      <c r="P31" s="103"/>
      <c r="Q31" s="103"/>
      <c r="R31" s="105"/>
      <c r="S31" s="103"/>
      <c r="T31" s="103"/>
      <c r="U31" s="104"/>
      <c r="V31" s="103"/>
      <c r="W31" s="103"/>
      <c r="X31" s="103"/>
      <c r="Y31" s="103"/>
      <c r="Z31" s="103"/>
      <c r="AA31" s="103"/>
    </row>
    <row r="32" spans="1:27" x14ac:dyDescent="0.25">
      <c r="A32" s="58" t="s">
        <v>87</v>
      </c>
      <c r="B32" s="84">
        <f>0.07*Kaasuntuotto!B12</f>
        <v>888999.72</v>
      </c>
      <c r="C32" s="58" t="s">
        <v>11</v>
      </c>
      <c r="D32" s="58"/>
      <c r="E32" s="61">
        <v>7.0000000000000007E-2</v>
      </c>
      <c r="F32" s="5"/>
      <c r="G32" s="5" t="s">
        <v>114</v>
      </c>
      <c r="H32" s="5"/>
      <c r="I32" s="5"/>
      <c r="J32" s="5"/>
      <c r="M32" s="103"/>
      <c r="N32" s="103"/>
      <c r="O32" s="103"/>
      <c r="P32" s="103"/>
      <c r="Q32" s="103"/>
      <c r="R32" s="103"/>
      <c r="S32" s="103"/>
      <c r="T32" s="103"/>
      <c r="U32" s="104"/>
      <c r="V32" s="103"/>
      <c r="W32" s="103"/>
      <c r="X32" s="103"/>
      <c r="Y32" s="103"/>
      <c r="Z32" s="103"/>
      <c r="AA32" s="103"/>
    </row>
    <row r="33" spans="1:27" x14ac:dyDescent="0.25">
      <c r="A33" s="70" t="s">
        <v>89</v>
      </c>
      <c r="B33" s="92">
        <f>Kaasuntuotto!B28</f>
        <v>3420000</v>
      </c>
      <c r="C33" s="70" t="s">
        <v>11</v>
      </c>
      <c r="D33" s="70"/>
      <c r="E33" s="119" t="s">
        <v>140</v>
      </c>
      <c r="F33" s="5"/>
      <c r="G33" s="118" t="s">
        <v>141</v>
      </c>
      <c r="H33" s="5"/>
      <c r="I33" s="5"/>
      <c r="J33" s="5"/>
      <c r="M33" s="103"/>
      <c r="N33" s="103"/>
      <c r="O33" s="103"/>
      <c r="P33" s="103"/>
      <c r="Q33" s="103"/>
      <c r="R33" s="104"/>
      <c r="S33" s="103"/>
      <c r="T33" s="103"/>
      <c r="U33" s="104"/>
      <c r="V33" s="103"/>
      <c r="W33" s="103"/>
      <c r="X33" s="103"/>
      <c r="Y33" s="103"/>
      <c r="Z33" s="103"/>
      <c r="AA33" s="103"/>
    </row>
    <row r="34" spans="1:27" x14ac:dyDescent="0.25">
      <c r="A34" s="58"/>
      <c r="B34" s="113"/>
      <c r="C34" s="58"/>
      <c r="D34" s="58"/>
      <c r="E34" s="61"/>
      <c r="F34" s="5"/>
      <c r="G34" s="5"/>
      <c r="H34" s="5"/>
      <c r="I34" s="5"/>
      <c r="J34" s="5"/>
      <c r="M34" s="103"/>
      <c r="N34" s="103"/>
      <c r="O34" s="103"/>
      <c r="P34" s="103"/>
      <c r="Q34" s="103"/>
      <c r="R34" s="104"/>
      <c r="S34" s="103"/>
      <c r="T34" s="103"/>
      <c r="U34" s="104"/>
      <c r="V34" s="103"/>
      <c r="W34" s="103"/>
      <c r="X34" s="103"/>
      <c r="Y34" s="103"/>
      <c r="Z34" s="103"/>
      <c r="AA34" s="103"/>
    </row>
    <row r="35" spans="1:27" x14ac:dyDescent="0.25">
      <c r="A35" s="5" t="s">
        <v>134</v>
      </c>
      <c r="B35" s="93">
        <f>I36</f>
        <v>126999.95999999999</v>
      </c>
      <c r="C35" s="5" t="s">
        <v>11</v>
      </c>
      <c r="D35" s="5"/>
      <c r="E35" s="41">
        <v>0.01</v>
      </c>
      <c r="F35" s="5"/>
      <c r="G35" s="5" t="s">
        <v>98</v>
      </c>
      <c r="H35" s="5"/>
      <c r="I35" s="10">
        <f>Kaasuntuotto!G13*0.01</f>
        <v>21166.66</v>
      </c>
      <c r="J35" s="5" t="s">
        <v>42</v>
      </c>
      <c r="M35" s="103"/>
      <c r="N35" s="103"/>
      <c r="O35" s="103"/>
      <c r="P35" s="103"/>
      <c r="Q35" s="103"/>
      <c r="R35" s="103"/>
      <c r="S35" s="103"/>
      <c r="T35" s="103"/>
      <c r="U35" s="104"/>
      <c r="V35" s="103"/>
      <c r="W35" s="103"/>
      <c r="X35" s="103"/>
      <c r="Y35" s="103"/>
      <c r="Z35" s="103"/>
      <c r="AA35" s="103"/>
    </row>
    <row r="36" spans="1:27" x14ac:dyDescent="0.25">
      <c r="A36" s="45" t="s">
        <v>86</v>
      </c>
      <c r="B36" s="85">
        <f>B35*3.6</f>
        <v>457199.85599999997</v>
      </c>
      <c r="C36" s="45" t="s">
        <v>12</v>
      </c>
      <c r="D36" s="5"/>
      <c r="E36" s="5"/>
      <c r="F36" s="5"/>
      <c r="G36" s="5" t="s">
        <v>97</v>
      </c>
      <c r="H36" s="5"/>
      <c r="I36" s="93">
        <f>I35*Kaasuntuotto!B22</f>
        <v>126999.95999999999</v>
      </c>
      <c r="J36" s="5" t="s">
        <v>99</v>
      </c>
      <c r="M36" s="103"/>
      <c r="N36" s="103"/>
      <c r="O36" s="103"/>
      <c r="P36" s="103"/>
      <c r="Q36" s="103"/>
      <c r="R36" s="103"/>
      <c r="S36" s="103"/>
      <c r="T36" s="103"/>
      <c r="U36" s="104"/>
      <c r="V36" s="103"/>
      <c r="W36" s="103"/>
      <c r="X36" s="103"/>
      <c r="Y36" s="103"/>
      <c r="Z36" s="103"/>
      <c r="AA36" s="103"/>
    </row>
    <row r="37" spans="1:27" x14ac:dyDescent="0.25">
      <c r="A37" s="86" t="s">
        <v>135</v>
      </c>
      <c r="B37" s="87">
        <f>B36*54.6</f>
        <v>24963112.137599997</v>
      </c>
      <c r="C37" s="5" t="s">
        <v>17</v>
      </c>
      <c r="D37" s="5"/>
      <c r="E37" s="5"/>
      <c r="F37" s="5"/>
      <c r="G37" s="5"/>
      <c r="H37" s="5"/>
      <c r="I37" s="5"/>
      <c r="J37" s="5"/>
      <c r="M37" s="103"/>
      <c r="N37" s="103"/>
      <c r="O37" s="103"/>
      <c r="P37" s="103"/>
      <c r="Q37" s="103"/>
      <c r="R37" s="103"/>
      <c r="S37" s="103"/>
      <c r="T37" s="103"/>
      <c r="U37" s="104"/>
      <c r="V37" s="103"/>
      <c r="W37" s="103"/>
      <c r="X37" s="103"/>
      <c r="Y37" s="103"/>
      <c r="Z37" s="103"/>
      <c r="AA37" s="106"/>
    </row>
    <row r="38" spans="1:27" x14ac:dyDescent="0.25">
      <c r="C38" s="21"/>
      <c r="D38" s="5"/>
      <c r="E38" s="5"/>
      <c r="M38" s="103"/>
      <c r="N38" s="103"/>
      <c r="O38" s="103"/>
      <c r="P38" s="103"/>
      <c r="Q38" s="103"/>
      <c r="R38" s="103"/>
      <c r="S38" s="103"/>
      <c r="T38" s="103"/>
      <c r="U38" s="103"/>
      <c r="V38" s="103"/>
      <c r="W38" s="103"/>
      <c r="X38" s="103"/>
      <c r="Y38" s="103"/>
      <c r="Z38" s="103"/>
      <c r="AA38" s="106"/>
    </row>
    <row r="39" spans="1:27" x14ac:dyDescent="0.25">
      <c r="C39" s="21"/>
      <c r="M39" s="103"/>
      <c r="N39" s="103"/>
      <c r="O39" s="103"/>
      <c r="P39" s="103"/>
      <c r="Q39" s="103"/>
      <c r="R39" s="103"/>
      <c r="S39" s="103"/>
      <c r="T39" s="103"/>
      <c r="U39" s="103"/>
      <c r="V39" s="103"/>
      <c r="W39" s="103"/>
      <c r="X39" s="103"/>
      <c r="Y39" s="103"/>
      <c r="Z39" s="103"/>
      <c r="AA39" s="103"/>
    </row>
    <row r="40" spans="1:27" x14ac:dyDescent="0.25">
      <c r="C40" s="21"/>
      <c r="M40" s="103"/>
      <c r="N40" s="103"/>
      <c r="O40" s="103"/>
      <c r="P40" s="103"/>
      <c r="Q40" s="103"/>
      <c r="R40" s="103"/>
      <c r="S40" s="103"/>
      <c r="T40" s="103"/>
      <c r="U40" s="103"/>
      <c r="V40" s="103"/>
      <c r="W40" s="103"/>
      <c r="X40" s="103"/>
      <c r="Y40" s="103"/>
      <c r="Z40" s="103"/>
      <c r="AA40" s="103"/>
    </row>
    <row r="41" spans="1:27" x14ac:dyDescent="0.25">
      <c r="C41" s="49"/>
      <c r="M41" s="103"/>
      <c r="N41" s="103"/>
      <c r="O41" s="103"/>
      <c r="P41" s="103"/>
      <c r="Q41" s="103"/>
      <c r="R41" s="103"/>
      <c r="S41" s="103"/>
      <c r="T41" s="103"/>
      <c r="U41" s="103"/>
      <c r="V41" s="103"/>
      <c r="W41" s="103"/>
      <c r="X41" s="103"/>
      <c r="Y41" s="103"/>
      <c r="Z41" s="103"/>
      <c r="AA41" s="103"/>
    </row>
    <row r="42" spans="1:27" x14ac:dyDescent="0.25">
      <c r="M42" s="103"/>
      <c r="N42" s="103"/>
      <c r="O42" s="103"/>
      <c r="P42" s="103"/>
      <c r="Q42" s="103"/>
      <c r="R42" s="103"/>
      <c r="S42" s="103"/>
      <c r="T42" s="103"/>
      <c r="U42" s="103"/>
      <c r="V42" s="104"/>
      <c r="W42" s="103"/>
      <c r="X42" s="103"/>
      <c r="Y42" s="103"/>
      <c r="Z42" s="103"/>
      <c r="AA42" s="103"/>
    </row>
    <row r="43" spans="1:27" x14ac:dyDescent="0.25">
      <c r="A43" s="18" t="s">
        <v>57</v>
      </c>
      <c r="B43" s="18"/>
      <c r="C43" s="18"/>
      <c r="D43" s="18"/>
      <c r="E43" s="5"/>
      <c r="F43" s="5"/>
      <c r="G43" s="5"/>
      <c r="H43" s="4"/>
      <c r="I43" s="4"/>
      <c r="J43" s="4"/>
      <c r="K43" s="4"/>
      <c r="M43" s="103"/>
      <c r="N43" s="103"/>
      <c r="O43" s="103"/>
      <c r="P43" s="103"/>
      <c r="Q43" s="103"/>
      <c r="R43" s="103"/>
      <c r="S43" s="103"/>
      <c r="T43" s="103"/>
      <c r="U43" s="103"/>
      <c r="V43" s="104"/>
      <c r="W43" s="103"/>
      <c r="X43" s="103"/>
      <c r="Y43" s="103"/>
      <c r="Z43" s="103"/>
      <c r="AA43" s="103"/>
    </row>
    <row r="44" spans="1:27" x14ac:dyDescent="0.25">
      <c r="A44" s="49" t="s">
        <v>100</v>
      </c>
      <c r="B44" s="88">
        <f>Kaasuntuotto!B10*0.01</f>
        <v>12699.995999999999</v>
      </c>
      <c r="C44" s="18" t="s">
        <v>51</v>
      </c>
      <c r="D44" s="18"/>
      <c r="E44" s="5"/>
      <c r="F44" s="4"/>
      <c r="M44" s="103"/>
      <c r="N44" s="103"/>
      <c r="O44" s="103"/>
      <c r="P44" s="103"/>
      <c r="Q44" s="103"/>
      <c r="R44" s="103"/>
      <c r="S44" s="103"/>
      <c r="T44" s="103"/>
      <c r="U44" s="103"/>
      <c r="V44" s="103"/>
      <c r="W44" s="103"/>
      <c r="X44" s="103"/>
      <c r="Y44" s="103"/>
      <c r="Z44" s="103"/>
      <c r="AA44" s="103"/>
    </row>
    <row r="45" spans="1:27" x14ac:dyDescent="0.25">
      <c r="A45" s="5" t="s">
        <v>136</v>
      </c>
      <c r="B45" s="88">
        <f>B44*0.717</f>
        <v>9105.8971319999982</v>
      </c>
      <c r="C45" s="18" t="s">
        <v>52</v>
      </c>
      <c r="D45" s="18"/>
      <c r="E45" s="5"/>
      <c r="F45" s="4"/>
      <c r="M45" s="103"/>
      <c r="N45" s="103"/>
      <c r="O45" s="103"/>
      <c r="P45" s="103"/>
      <c r="Q45" s="103"/>
      <c r="R45" s="103"/>
      <c r="S45" s="103"/>
      <c r="T45" s="103"/>
      <c r="U45" s="103"/>
      <c r="V45" s="103"/>
      <c r="W45" s="103"/>
      <c r="X45" s="103"/>
      <c r="Y45" s="103"/>
      <c r="Z45" s="103"/>
      <c r="AA45" s="103"/>
    </row>
    <row r="46" spans="1:27" x14ac:dyDescent="0.25">
      <c r="A46" s="49" t="s">
        <v>116</v>
      </c>
      <c r="B46" s="88">
        <v>23</v>
      </c>
      <c r="C46" s="18" t="s">
        <v>53</v>
      </c>
      <c r="D46" s="18"/>
      <c r="E46" s="5"/>
      <c r="F46" s="4"/>
      <c r="G46" s="4"/>
      <c r="H46" s="4"/>
      <c r="K46" s="4"/>
      <c r="M46" s="103"/>
      <c r="N46" s="104"/>
      <c r="O46" s="103"/>
      <c r="P46" s="103"/>
      <c r="Q46" s="103"/>
      <c r="R46" s="103"/>
      <c r="S46" s="103"/>
      <c r="T46" s="103"/>
      <c r="U46" s="103"/>
      <c r="V46" s="103"/>
      <c r="W46" s="103"/>
      <c r="X46" s="103"/>
      <c r="Y46" s="103"/>
      <c r="Z46" s="103"/>
      <c r="AA46" s="103"/>
    </row>
    <row r="47" spans="1:27" x14ac:dyDescent="0.25">
      <c r="A47" s="18" t="s">
        <v>59</v>
      </c>
      <c r="B47" s="88">
        <f>B45*B46</f>
        <v>209435.63403599994</v>
      </c>
      <c r="C47" s="18" t="s">
        <v>54</v>
      </c>
      <c r="D47" s="18"/>
      <c r="E47" s="5"/>
      <c r="F47" s="4"/>
      <c r="G47" s="4"/>
      <c r="H47" s="4"/>
      <c r="K47" s="4"/>
    </row>
    <row r="48" spans="1:27" x14ac:dyDescent="0.25">
      <c r="A48" s="18" t="s">
        <v>58</v>
      </c>
      <c r="B48" s="88">
        <f>B47*1000</f>
        <v>209435634.03599995</v>
      </c>
      <c r="C48" s="18" t="s">
        <v>55</v>
      </c>
      <c r="D48" s="18"/>
      <c r="E48" s="5"/>
      <c r="F48" s="4"/>
      <c r="G48" s="4"/>
      <c r="H48" s="4"/>
      <c r="K48" s="4"/>
    </row>
    <row r="49" spans="1:11" x14ac:dyDescent="0.25">
      <c r="A49" s="18"/>
      <c r="B49" s="89">
        <f>B48/Kaasuntuotto!B13</f>
        <v>4.5808333333333326</v>
      </c>
      <c r="C49" s="18" t="s">
        <v>56</v>
      </c>
      <c r="D49" s="18"/>
      <c r="E49" s="5"/>
      <c r="F49" s="5"/>
      <c r="G49" s="5"/>
      <c r="H49" s="4"/>
      <c r="K49" s="4"/>
    </row>
  </sheetData>
  <sheetProtection algorithmName="SHA-512" hashValue="f9aq/eQgs4utI0dady19RCo4Vdqftctd25id08IE5fXl0GnJ1vhi2X0GZCXernuF7/3g7MbeDuEdg03+Uu1CZQ==" saltValue="/In3AQt0vTrIOf99PYQSyQ==" spinCount="100000" sheet="1" objects="1" scenarios="1"/>
  <hyperlinks>
    <hyperlink ref="A44" r:id="rId1" xr:uid="{C65F6494-FA63-4D8D-8EC9-3049C71E6A2C}"/>
    <hyperlink ref="A46" r:id="rId2" xr:uid="{46E36403-FF01-40DB-8B8C-550578E6B866}"/>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50DAE-C001-4912-94AF-DEA78D003522}">
  <dimension ref="A1:M56"/>
  <sheetViews>
    <sheetView workbookViewId="0">
      <selection activeCell="I22" sqref="I22"/>
    </sheetView>
  </sheetViews>
  <sheetFormatPr defaultColWidth="9.140625" defaultRowHeight="15" x14ac:dyDescent="0.25"/>
  <cols>
    <col min="1" max="1" width="55.140625" style="3" bestFit="1" customWidth="1"/>
    <col min="2" max="2" width="24.28515625" style="3" customWidth="1"/>
    <col min="3" max="3" width="9.140625" style="3"/>
    <col min="4" max="4" width="11.7109375" style="3" bestFit="1" customWidth="1"/>
    <col min="5" max="5" width="12.85546875" style="3" bestFit="1" customWidth="1"/>
    <col min="6" max="6" width="9.140625" style="3"/>
    <col min="7" max="7" width="25" style="3" customWidth="1"/>
    <col min="8" max="8" width="16.7109375" style="3" customWidth="1"/>
    <col min="9" max="9" width="10.42578125" style="3" bestFit="1" customWidth="1"/>
    <col min="10" max="10" width="21.140625" style="3" customWidth="1"/>
    <col min="11" max="11" width="19" style="3" customWidth="1"/>
    <col min="12" max="12" width="9.140625" style="3"/>
    <col min="13" max="13" width="14.42578125" style="3" bestFit="1" customWidth="1"/>
    <col min="14" max="16384" width="9.140625" style="3"/>
  </cols>
  <sheetData>
    <row r="1" spans="1:12" x14ac:dyDescent="0.25">
      <c r="A1" s="2" t="s">
        <v>16</v>
      </c>
      <c r="F1" s="19"/>
      <c r="G1" s="19"/>
      <c r="H1" s="19"/>
      <c r="I1" s="19"/>
    </row>
    <row r="2" spans="1:12" x14ac:dyDescent="0.25">
      <c r="B2" s="1" t="s">
        <v>1</v>
      </c>
      <c r="C2" s="1" t="s">
        <v>2</v>
      </c>
    </row>
    <row r="3" spans="1:12" ht="18" x14ac:dyDescent="0.35">
      <c r="A3" t="s">
        <v>23</v>
      </c>
      <c r="B3" s="5">
        <v>130.5</v>
      </c>
      <c r="C3" s="3" t="s">
        <v>4</v>
      </c>
      <c r="G3" s="94" t="s">
        <v>153</v>
      </c>
      <c r="J3" s="95"/>
      <c r="K3" s="95"/>
      <c r="L3" s="51"/>
    </row>
    <row r="4" spans="1:12" ht="18" x14ac:dyDescent="0.35">
      <c r="A4" t="s">
        <v>44</v>
      </c>
      <c r="B4" s="90">
        <f>'Biopolttoaineen päästöt'!B28</f>
        <v>22.392837547035448</v>
      </c>
      <c r="C4" s="3" t="s">
        <v>4</v>
      </c>
      <c r="G4" s="3" t="s">
        <v>146</v>
      </c>
      <c r="H4" s="124">
        <v>183</v>
      </c>
      <c r="I4" s="3" t="s">
        <v>4</v>
      </c>
      <c r="J4" s="58"/>
      <c r="K4" s="123">
        <v>0.49</v>
      </c>
      <c r="L4" s="51"/>
    </row>
    <row r="5" spans="1:12" ht="15.75" thickBot="1" x14ac:dyDescent="0.3">
      <c r="A5" s="1" t="s">
        <v>43</v>
      </c>
      <c r="B5" s="91">
        <f>(B3-B4)/B3</f>
        <v>0.82840737511850238</v>
      </c>
      <c r="G5" s="3" t="s">
        <v>145</v>
      </c>
      <c r="H5" s="124">
        <v>80</v>
      </c>
      <c r="I5" s="3" t="s">
        <v>4</v>
      </c>
      <c r="J5" s="95"/>
      <c r="K5" s="123">
        <v>0.51</v>
      </c>
      <c r="L5" s="51"/>
    </row>
    <row r="6" spans="1:12" ht="19.5" thickBot="1" x14ac:dyDescent="0.35">
      <c r="A6" s="31" t="s">
        <v>16</v>
      </c>
      <c r="B6" s="115">
        <f>B5*100</f>
        <v>82.840737511850236</v>
      </c>
      <c r="C6" s="32" t="s">
        <v>14</v>
      </c>
      <c r="G6" s="3" t="s">
        <v>149</v>
      </c>
      <c r="J6" s="100"/>
      <c r="K6" s="95"/>
      <c r="L6" s="51"/>
    </row>
    <row r="7" spans="1:12" ht="17.25" customHeight="1" x14ac:dyDescent="0.25">
      <c r="B7" s="5"/>
      <c r="G7" s="3" t="s">
        <v>150</v>
      </c>
      <c r="J7" s="101"/>
      <c r="K7" s="95"/>
      <c r="L7" s="51"/>
    </row>
    <row r="8" spans="1:12" x14ac:dyDescent="0.25">
      <c r="G8" s="3" t="s">
        <v>147</v>
      </c>
      <c r="H8" s="109"/>
      <c r="I8" s="102"/>
      <c r="J8" s="102"/>
      <c r="K8" s="99"/>
      <c r="L8" s="51"/>
    </row>
    <row r="9" spans="1:12" x14ac:dyDescent="0.25">
      <c r="G9" s="3" t="s">
        <v>148</v>
      </c>
    </row>
    <row r="10" spans="1:12" x14ac:dyDescent="0.25">
      <c r="G10" s="3" t="s">
        <v>151</v>
      </c>
    </row>
    <row r="11" spans="1:12" x14ac:dyDescent="0.25">
      <c r="A11"/>
    </row>
    <row r="12" spans="1:12" x14ac:dyDescent="0.25">
      <c r="A12" s="1" t="s">
        <v>40</v>
      </c>
    </row>
    <row r="13" spans="1:12" x14ac:dyDescent="0.25">
      <c r="A13" t="s">
        <v>45</v>
      </c>
      <c r="B13" s="5">
        <v>100</v>
      </c>
      <c r="C13" s="5" t="s">
        <v>14</v>
      </c>
      <c r="D13" s="5"/>
      <c r="E13" s="10">
        <f>Kaasuntuotto!E21</f>
        <v>2116666</v>
      </c>
      <c r="F13" t="s">
        <v>8</v>
      </c>
      <c r="G13" t="s">
        <v>41</v>
      </c>
      <c r="H13" s="35">
        <f>Kaasuntuotto!H21</f>
        <v>8390996.2800000012</v>
      </c>
      <c r="I13" s="3" t="s">
        <v>11</v>
      </c>
      <c r="J13" s="3">
        <v>56</v>
      </c>
    </row>
    <row r="14" spans="1:12" x14ac:dyDescent="0.25">
      <c r="A14" t="s">
        <v>61</v>
      </c>
      <c r="B14" s="3">
        <v>9</v>
      </c>
      <c r="C14" s="3" t="s">
        <v>9</v>
      </c>
      <c r="E14" s="15"/>
      <c r="H14" s="13">
        <f>Kaasuntuotto!H22</f>
        <v>30207586.608000007</v>
      </c>
      <c r="I14" s="1" t="s">
        <v>12</v>
      </c>
    </row>
    <row r="15" spans="1:12" x14ac:dyDescent="0.25">
      <c r="A15" s="94"/>
      <c r="B15" s="107"/>
      <c r="E15" s="15"/>
      <c r="H15" s="14"/>
    </row>
    <row r="16" spans="1:12" x14ac:dyDescent="0.25">
      <c r="A16"/>
      <c r="B16"/>
      <c r="H16" s="14"/>
      <c r="I16"/>
    </row>
    <row r="17" spans="1:13" x14ac:dyDescent="0.25">
      <c r="H17" s="13"/>
      <c r="I17" s="1"/>
    </row>
    <row r="18" spans="1:13" x14ac:dyDescent="0.25">
      <c r="A18" s="21"/>
      <c r="B18" s="23"/>
      <c r="K18" s="16" t="s">
        <v>46</v>
      </c>
    </row>
    <row r="19" spans="1:13" x14ac:dyDescent="0.25">
      <c r="A19" s="5" t="s">
        <v>85</v>
      </c>
      <c r="B19" s="10">
        <f>'Biopolttoaineen päästöt'!B23</f>
        <v>24963112.137599997</v>
      </c>
      <c r="C19" s="5" t="s">
        <v>17</v>
      </c>
      <c r="D19" s="21"/>
      <c r="E19" s="21"/>
    </row>
    <row r="20" spans="1:13" x14ac:dyDescent="0.25">
      <c r="A20" s="3" t="s">
        <v>31</v>
      </c>
      <c r="B20" s="10">
        <f>'Biopolttoaineen päästöt'!B24</f>
        <v>2929800</v>
      </c>
      <c r="C20" s="5" t="s">
        <v>17</v>
      </c>
    </row>
    <row r="21" spans="1:13" x14ac:dyDescent="0.25">
      <c r="A21" s="3" t="s">
        <v>32</v>
      </c>
      <c r="B21" s="10">
        <f>'Biopolttoaineen päästöt'!B25</f>
        <v>995907298.05599999</v>
      </c>
      <c r="C21" s="5" t="s">
        <v>17</v>
      </c>
    </row>
    <row r="22" spans="1:13" x14ac:dyDescent="0.25">
      <c r="A22" s="28" t="s">
        <v>35</v>
      </c>
      <c r="B22" s="92">
        <f>'Biopolttoaineen päästöt'!B26</f>
        <v>1023800210.1935999</v>
      </c>
      <c r="C22" s="45" t="s">
        <v>17</v>
      </c>
    </row>
    <row r="23" spans="1:13" x14ac:dyDescent="0.25">
      <c r="A23" s="3" t="s">
        <v>47</v>
      </c>
      <c r="B23" s="43">
        <f>'Biopolttoaineen päästöt'!B28</f>
        <v>22.392837547035448</v>
      </c>
      <c r="C23" s="5" t="s">
        <v>4</v>
      </c>
    </row>
    <row r="24" spans="1:13" x14ac:dyDescent="0.25">
      <c r="A24" s="28"/>
      <c r="B24" s="28"/>
      <c r="C24" s="28"/>
      <c r="D24" s="28"/>
      <c r="E24" s="28"/>
      <c r="F24" s="28"/>
      <c r="G24" s="28"/>
    </row>
    <row r="25" spans="1:13" x14ac:dyDescent="0.25">
      <c r="A25" s="19"/>
      <c r="B25" s="19"/>
      <c r="C25" s="19"/>
      <c r="D25" s="19"/>
      <c r="E25" s="19"/>
      <c r="F25" s="19"/>
      <c r="G25" s="19"/>
      <c r="H25" s="19"/>
      <c r="I25" s="19"/>
    </row>
    <row r="26" spans="1:13" x14ac:dyDescent="0.25">
      <c r="A26" s="18" t="s">
        <v>112</v>
      </c>
      <c r="B26" s="5"/>
      <c r="C26" s="5"/>
      <c r="D26" s="19"/>
      <c r="E26" s="19"/>
      <c r="F26" s="19"/>
      <c r="G26" s="19"/>
      <c r="H26" s="19"/>
      <c r="I26" s="19"/>
      <c r="M26"/>
    </row>
    <row r="27" spans="1:13" x14ac:dyDescent="0.25">
      <c r="A27" s="5" t="s">
        <v>69</v>
      </c>
      <c r="B27" s="5"/>
      <c r="C27" s="5"/>
      <c r="D27" s="19"/>
      <c r="E27" s="19"/>
      <c r="F27" s="19"/>
      <c r="G27" s="19"/>
      <c r="H27" s="20"/>
      <c r="I27" s="19"/>
      <c r="M27" s="15"/>
    </row>
    <row r="28" spans="1:13" x14ac:dyDescent="0.25">
      <c r="A28" s="3" t="s">
        <v>70</v>
      </c>
      <c r="B28" s="11">
        <v>56</v>
      </c>
      <c r="C28" s="5" t="s">
        <v>21</v>
      </c>
      <c r="D28" s="19"/>
      <c r="E28" s="19"/>
      <c r="F28" s="19"/>
      <c r="G28" s="19"/>
      <c r="H28" s="22"/>
      <c r="I28" s="21"/>
      <c r="J28"/>
      <c r="K28"/>
      <c r="M28" s="25"/>
    </row>
    <row r="29" spans="1:13" x14ac:dyDescent="0.25">
      <c r="A29" s="5" t="s">
        <v>64</v>
      </c>
      <c r="B29" s="11">
        <v>55500</v>
      </c>
      <c r="C29" s="5" t="s">
        <v>65</v>
      </c>
      <c r="H29" s="14"/>
      <c r="I29" s="21"/>
      <c r="K29"/>
    </row>
    <row r="30" spans="1:13" x14ac:dyDescent="0.25">
      <c r="A30" s="5" t="s">
        <v>67</v>
      </c>
      <c r="B30" s="11">
        <v>15</v>
      </c>
      <c r="C30" s="5" t="s">
        <v>68</v>
      </c>
    </row>
    <row r="31" spans="1:13" x14ac:dyDescent="0.25">
      <c r="A31" s="5" t="s">
        <v>62</v>
      </c>
      <c r="B31" s="11">
        <v>60</v>
      </c>
      <c r="C31" s="5" t="s">
        <v>63</v>
      </c>
    </row>
    <row r="32" spans="1:13" x14ac:dyDescent="0.25">
      <c r="A32" s="5" t="s">
        <v>66</v>
      </c>
      <c r="B32" s="11">
        <f>0.06*B29</f>
        <v>3330</v>
      </c>
      <c r="C32" s="5"/>
      <c r="G32"/>
      <c r="H32" s="23"/>
      <c r="I32" s="21"/>
      <c r="K32"/>
    </row>
    <row r="33" spans="1:13" x14ac:dyDescent="0.25">
      <c r="B33" s="27">
        <f>B32*B30</f>
        <v>49950</v>
      </c>
      <c r="C33" t="s">
        <v>6</v>
      </c>
      <c r="H33" s="15"/>
      <c r="K33"/>
      <c r="M33" s="25"/>
    </row>
    <row r="34" spans="1:13" x14ac:dyDescent="0.25">
      <c r="A34" s="5" t="s">
        <v>76</v>
      </c>
      <c r="B34" s="27">
        <f>B28*B33</f>
        <v>2797200</v>
      </c>
      <c r="C34" t="s">
        <v>13</v>
      </c>
    </row>
    <row r="35" spans="1:13" x14ac:dyDescent="0.25">
      <c r="D35" s="108"/>
    </row>
    <row r="36" spans="1:13" x14ac:dyDescent="0.25">
      <c r="A36" s="8" t="s">
        <v>71</v>
      </c>
      <c r="B36" s="29">
        <f>B34/B22*100</f>
        <v>0.27321736918485801</v>
      </c>
      <c r="C36" s="8" t="s">
        <v>14</v>
      </c>
      <c r="D36" s="45" t="s">
        <v>77</v>
      </c>
      <c r="E36" s="28"/>
      <c r="F36" s="28"/>
      <c r="G36" s="28"/>
    </row>
    <row r="37" spans="1:13" x14ac:dyDescent="0.25">
      <c r="A37" s="73"/>
      <c r="B37" s="116"/>
      <c r="C37" s="73"/>
      <c r="D37" s="58"/>
      <c r="E37" s="108"/>
    </row>
    <row r="38" spans="1:13" x14ac:dyDescent="0.25">
      <c r="A38" s="1" t="s">
        <v>81</v>
      </c>
    </row>
    <row r="39" spans="1:13" x14ac:dyDescent="0.25">
      <c r="A39" t="s">
        <v>78</v>
      </c>
      <c r="B39" s="3">
        <v>2</v>
      </c>
      <c r="C39" t="s">
        <v>42</v>
      </c>
      <c r="D39" t="s">
        <v>80</v>
      </c>
      <c r="E39" s="3">
        <v>2</v>
      </c>
      <c r="F39" t="s">
        <v>3</v>
      </c>
      <c r="G39" s="3">
        <v>2000</v>
      </c>
      <c r="H39" t="s">
        <v>5</v>
      </c>
    </row>
    <row r="40" spans="1:13" s="30" customFormat="1" ht="45" x14ac:dyDescent="0.25">
      <c r="A40" s="6" t="s">
        <v>82</v>
      </c>
      <c r="B40" s="30">
        <v>95</v>
      </c>
      <c r="C40" s="6" t="s">
        <v>83</v>
      </c>
      <c r="E40" s="6">
        <v>9.5000000000000001E-2</v>
      </c>
    </row>
    <row r="41" spans="1:13" x14ac:dyDescent="0.25">
      <c r="A41" t="s">
        <v>79</v>
      </c>
      <c r="B41" s="3">
        <v>100</v>
      </c>
      <c r="C41" t="s">
        <v>50</v>
      </c>
    </row>
    <row r="42" spans="1:13" x14ac:dyDescent="0.25">
      <c r="A42" s="3" t="s">
        <v>72</v>
      </c>
      <c r="B42" s="3">
        <v>114</v>
      </c>
      <c r="C42" s="3" t="s">
        <v>73</v>
      </c>
    </row>
    <row r="43" spans="1:13" x14ac:dyDescent="0.25">
      <c r="A43" t="s">
        <v>75</v>
      </c>
      <c r="B43" s="15">
        <f>B41*B42*E39</f>
        <v>22800</v>
      </c>
      <c r="C43" s="3" t="s">
        <v>17</v>
      </c>
    </row>
    <row r="44" spans="1:13" x14ac:dyDescent="0.25">
      <c r="A44" t="s">
        <v>78</v>
      </c>
      <c r="B44" s="26">
        <f>G39*E40*1000</f>
        <v>190000</v>
      </c>
      <c r="C44" s="3" t="s">
        <v>17</v>
      </c>
    </row>
    <row r="45" spans="1:13" x14ac:dyDescent="0.25">
      <c r="A45" t="s">
        <v>74</v>
      </c>
      <c r="B45" s="25">
        <f>B43+B44</f>
        <v>212800</v>
      </c>
      <c r="C45" s="3" t="s">
        <v>17</v>
      </c>
      <c r="D45" s="108"/>
      <c r="E45" s="108"/>
      <c r="F45" s="108"/>
      <c r="G45" s="108"/>
    </row>
    <row r="46" spans="1:13" x14ac:dyDescent="0.25">
      <c r="A46" s="8" t="s">
        <v>71</v>
      </c>
      <c r="B46" s="29">
        <f>B45/B22*100</f>
        <v>2.078530536341262E-2</v>
      </c>
      <c r="C46" s="8" t="s">
        <v>14</v>
      </c>
      <c r="D46" s="45" t="s">
        <v>77</v>
      </c>
      <c r="E46" s="45"/>
      <c r="F46" s="45"/>
      <c r="G46" s="45"/>
    </row>
    <row r="47" spans="1:13" x14ac:dyDescent="0.25">
      <c r="A47" s="19"/>
      <c r="B47" s="37"/>
      <c r="C47" s="19"/>
    </row>
    <row r="48" spans="1:13" x14ac:dyDescent="0.25">
      <c r="B48" s="25"/>
    </row>
    <row r="54" spans="2:2" x14ac:dyDescent="0.25">
      <c r="B54" s="14"/>
    </row>
    <row r="55" spans="2:2" x14ac:dyDescent="0.25">
      <c r="B55" s="14"/>
    </row>
    <row r="56" spans="2:2" x14ac:dyDescent="0.25">
      <c r="B56" s="36"/>
    </row>
  </sheetData>
  <sheetProtection algorithmName="SHA-512" hashValue="bTWAnuZ3bUEffpWy+WZfujmasGu559DUl5m6cC21YAT8Qyz6ZnZarKjJsy67qpMXkxMi5vYz2BB8bnYqerDK+g==" saltValue="SF4nMI3FCgGtJFj1GWcLn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6495B0A98673D94582766B3777F5288D" ma:contentTypeVersion="0" ma:contentTypeDescription="Taimin työtiloissa käytettävä sisältötyyppi. Pohjautuu TAIMI Yleisdokumentti-sisältötyyppiin, josta on siivottu mm. joitakin viestinnällisen intran metatietoja pois ja järjestetty metatiedot eri järjestykseen." ma:contentTypeScope="" ma:versionID="86c6e55907953642c7f9546058273cdb">
  <xsd:schema xmlns:xsd="http://www.w3.org/2001/XMLSchema" xmlns:xs="http://www.w3.org/2001/XMLSchema" xmlns:p="http://schemas.microsoft.com/office/2006/metadata/properties" xmlns:ns2="a90a8554-5475-4609-9feb-2f024996965b" targetNamespace="http://schemas.microsoft.com/office/2006/metadata/properties" ma:root="true" ma:fieldsID="70df90121524db99c91188a84f2b874a"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Projekti"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Palautuspyyntö"/>
          <xsd:enumeration value="Palvelukuvaus"/>
          <xsd:enumeration value="Perustelumuistio"/>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ekisteriseloste"/>
          <xsd:enumeration value="Reklamaatio"/>
          <xsd:enumeration value="Resurssivaraus"/>
          <xsd:enumeration value="Saate"/>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Projekti" ma:index="12"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element name="h5218b789dcc4879ac7e2471126f729c" ma:index="19"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21"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3"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4"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2c86073-d20c-4242-97f1-555d65605501" ContentTypeId="0x01010040485BB5EA91409BADF540D1B0254D3304"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41659fa04643d0ac27d4c98155f03c xmlns="a90a8554-5475-4609-9feb-2f024996965b">
      <Terms xmlns="http://schemas.microsoft.com/office/infopath/2007/PartnerControls"/>
    </ha41659fa04643d0ac27d4c98155f03c>
    <Dokumentin_x0020_tila xmlns="a90a8554-5475-4609-9feb-2f024996965b" xsi:nil="true"/>
    <Diaarinumero xmlns="a90a8554-5475-4609-9feb-2f024996965b" xsi:nil="true"/>
    <Dokumenttityyppi xmlns="a90a8554-5475-4609-9feb-2f024996965b" xsi:nil="true"/>
    <TaxCatchAll xmlns="a90a8554-5475-4609-9feb-2f024996965b"/>
    <KEHALaatija xmlns="a90a8554-5475-4609-9feb-2f024996965b" xsi:nil="true"/>
    <h5218b789dcc4879ac7e2471126f729c xmlns="a90a8554-5475-4609-9feb-2f024996965b">
      <Terms xmlns="http://schemas.microsoft.com/office/infopath/2007/PartnerControls"/>
    </h5218b789dcc4879ac7e2471126f729c>
    <ic4bbedd957942e9b7ae9016b7d801af xmlns="a90a8554-5475-4609-9feb-2f024996965b">
      <Terms xmlns="http://schemas.microsoft.com/office/infopath/2007/PartnerControls"/>
    </ic4bbedd957942e9b7ae9016b7d801af>
    <Päiväys xmlns="a90a8554-5475-4609-9feb-2f024996965b" xsi:nil="true"/>
    <Projekti xmlns="a90a8554-5475-4609-9feb-2f024996965b" xsi:nil="true"/>
    <cdf3ae8bf76741b5a3048f7f7f6eee61 xmlns="a90a8554-5475-4609-9feb-2f024996965b">
      <Terms xmlns="http://schemas.microsoft.com/office/infopath/2007/PartnerControls"/>
    </cdf3ae8bf76741b5a3048f7f7f6eee61>
    <Lisatieto xmlns="a90a8554-5475-4609-9feb-2f024996965b" xsi:nil="true"/>
  </documentManagement>
</p:properties>
</file>

<file path=customXml/itemProps1.xml><?xml version="1.0" encoding="utf-8"?>
<ds:datastoreItem xmlns:ds="http://schemas.openxmlformats.org/officeDocument/2006/customXml" ds:itemID="{5122F52F-DB43-4C49-8685-11093E6069AC}"/>
</file>

<file path=customXml/itemProps2.xml><?xml version="1.0" encoding="utf-8"?>
<ds:datastoreItem xmlns:ds="http://schemas.openxmlformats.org/officeDocument/2006/customXml" ds:itemID="{64CAAB55-E7A8-4B98-9E75-B5B3C12C95E8}"/>
</file>

<file path=customXml/itemProps3.xml><?xml version="1.0" encoding="utf-8"?>
<ds:datastoreItem xmlns:ds="http://schemas.openxmlformats.org/officeDocument/2006/customXml" ds:itemID="{FAAAB2F1-C017-45DE-B347-F204AB9E1F9F}"/>
</file>

<file path=customXml/itemProps4.xml><?xml version="1.0" encoding="utf-8"?>
<ds:datastoreItem xmlns:ds="http://schemas.openxmlformats.org/officeDocument/2006/customXml" ds:itemID="{9F83A082-4AF0-4D3C-B7E8-E37B4F502F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Laskentaperiaate</vt:lpstr>
      <vt:lpstr>Rajaus</vt:lpstr>
      <vt:lpstr>Kaasuntuotto</vt:lpstr>
      <vt:lpstr>Biopolttoaineen päästöt</vt:lpstr>
      <vt:lpstr>Päästövähenemä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Suvi</dc:creator>
  <cp:lastModifiedBy>Laine Leila</cp:lastModifiedBy>
  <cp:lastPrinted>2020-10-01T10:04:40Z</cp:lastPrinted>
  <dcterms:created xsi:type="dcterms:W3CDTF">2017-07-26T08:45:30Z</dcterms:created>
  <dcterms:modified xsi:type="dcterms:W3CDTF">2020-10-20T05:22:37Z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0x01010040485BB5EA91409BADF540D1B0254D3304006495B0A98673D94582766B3777F5288D</vt:lpwstr>
  </property>
</Properties>
</file>